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.202\coordenadoria de aquisicoes e contratos\LICITAÇÕES 2022\TOMADA DE PRECOS\01 - REFORMA CONFRESA\Docs demandante\"/>
    </mc:Choice>
  </mc:AlternateContent>
  <bookViews>
    <workbookView xWindow="0" yWindow="0" windowWidth="24000" windowHeight="9300"/>
  </bookViews>
  <sheets>
    <sheet name="orcam" sheetId="1" r:id="rId1"/>
    <sheet name="conograma" sheetId="2" r:id="rId2"/>
    <sheet name="Composições_08-22" sheetId="3" r:id="rId3"/>
  </sheets>
  <definedNames>
    <definedName name="_xlnm.Print_Area" localSheetId="2">'Composições_08-22'!$B$1:$H$278</definedName>
    <definedName name="_xlnm.Print_Area" localSheetId="1">conograma!$A$1:$Q$52</definedName>
    <definedName name="_xlnm.Print_Area" localSheetId="0">orcam!$A$1:$I$327</definedName>
  </definedNames>
  <calcPr calcId="162913"/>
</workbook>
</file>

<file path=xl/calcChain.xml><?xml version="1.0" encoding="utf-8"?>
<calcChain xmlns="http://schemas.openxmlformats.org/spreadsheetml/2006/main">
  <c r="B49" i="2" l="1"/>
  <c r="B47" i="2"/>
  <c r="B45" i="2"/>
  <c r="B43" i="2"/>
  <c r="B41" i="2"/>
  <c r="B39" i="2"/>
  <c r="B37" i="2"/>
  <c r="B35" i="2"/>
  <c r="B33" i="2"/>
  <c r="B31" i="2"/>
  <c r="B29" i="2"/>
  <c r="B27" i="2"/>
  <c r="B25" i="2"/>
  <c r="B23" i="2"/>
  <c r="B21" i="2"/>
  <c r="B19" i="2"/>
  <c r="B17" i="2"/>
  <c r="B15" i="2"/>
  <c r="H277" i="3"/>
  <c r="H276" i="3"/>
  <c r="H275" i="3"/>
  <c r="H274" i="3"/>
  <c r="H273" i="3"/>
  <c r="H278" i="3" s="1"/>
  <c r="H268" i="3"/>
  <c r="H267" i="3"/>
  <c r="H266" i="3"/>
  <c r="H265" i="3"/>
  <c r="H264" i="3"/>
  <c r="H269" i="3" s="1"/>
  <c r="H263" i="3"/>
  <c r="H258" i="3"/>
  <c r="H257" i="3"/>
  <c r="H256" i="3"/>
  <c r="H255" i="3"/>
  <c r="H259" i="3" s="1"/>
  <c r="H254" i="3"/>
  <c r="H249" i="3"/>
  <c r="H248" i="3"/>
  <c r="H247" i="3"/>
  <c r="H246" i="3"/>
  <c r="H250" i="3" s="1"/>
  <c r="H245" i="3"/>
  <c r="H240" i="3"/>
  <c r="H239" i="3"/>
  <c r="H241" i="3" s="1"/>
  <c r="H238" i="3"/>
  <c r="G233" i="3"/>
  <c r="H233" i="3" s="1"/>
  <c r="F233" i="3"/>
  <c r="H232" i="3"/>
  <c r="H231" i="3"/>
  <c r="H227" i="3"/>
  <c r="H226" i="3"/>
  <c r="H225" i="3"/>
  <c r="H220" i="3"/>
  <c r="H219" i="3"/>
  <c r="H218" i="3"/>
  <c r="H221" i="3" s="1"/>
  <c r="H212" i="3"/>
  <c r="H211" i="3"/>
  <c r="H210" i="3"/>
  <c r="H213" i="3" s="1"/>
  <c r="H204" i="3"/>
  <c r="H203" i="3"/>
  <c r="H202" i="3"/>
  <c r="H206" i="3" s="1"/>
  <c r="H196" i="3"/>
  <c r="H195" i="3"/>
  <c r="H194" i="3"/>
  <c r="H198" i="3" s="1"/>
  <c r="H185" i="3"/>
  <c r="H184" i="3"/>
  <c r="H183" i="3"/>
  <c r="H189" i="3" s="1"/>
  <c r="H178" i="3"/>
  <c r="H177" i="3"/>
  <c r="H176" i="3"/>
  <c r="H179" i="3" s="1"/>
  <c r="H171" i="3"/>
  <c r="H170" i="3"/>
  <c r="H169" i="3"/>
  <c r="H172" i="3" s="1"/>
  <c r="H164" i="3"/>
  <c r="H163" i="3"/>
  <c r="H162" i="3"/>
  <c r="H165" i="3" s="1"/>
  <c r="H157" i="3"/>
  <c r="H156" i="3"/>
  <c r="H155" i="3"/>
  <c r="H158" i="3" s="1"/>
  <c r="H150" i="3"/>
  <c r="H149" i="3"/>
  <c r="H148" i="3"/>
  <c r="H151" i="3" s="1"/>
  <c r="H143" i="3"/>
  <c r="H142" i="3"/>
  <c r="H141" i="3"/>
  <c r="H144" i="3" s="1"/>
  <c r="H136" i="3"/>
  <c r="H135" i="3"/>
  <c r="H134" i="3"/>
  <c r="H133" i="3"/>
  <c r="H137" i="3" s="1"/>
  <c r="H128" i="3"/>
  <c r="H127" i="3"/>
  <c r="H126" i="3"/>
  <c r="H125" i="3"/>
  <c r="H129" i="3" s="1"/>
  <c r="H120" i="3"/>
  <c r="H119" i="3"/>
  <c r="H118" i="3"/>
  <c r="H117" i="3"/>
  <c r="H116" i="3"/>
  <c r="H121" i="3" s="1"/>
  <c r="H111" i="3"/>
  <c r="H110" i="3"/>
  <c r="H109" i="3"/>
  <c r="H108" i="3"/>
  <c r="H107" i="3"/>
  <c r="H112" i="3" s="1"/>
  <c r="H102" i="3"/>
  <c r="H101" i="3"/>
  <c r="H100" i="3"/>
  <c r="H99" i="3"/>
  <c r="H98" i="3"/>
  <c r="H103" i="3" s="1"/>
  <c r="H93" i="3"/>
  <c r="H92" i="3"/>
  <c r="H91" i="3"/>
  <c r="H90" i="3"/>
  <c r="H94" i="3" s="1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F65" i="3"/>
  <c r="H65" i="3" s="1"/>
  <c r="H64" i="3"/>
  <c r="H63" i="3"/>
  <c r="H86" i="3" s="1"/>
  <c r="H62" i="3"/>
  <c r="H61" i="3"/>
  <c r="J56" i="3"/>
  <c r="H53" i="3"/>
  <c r="H52" i="3"/>
  <c r="H51" i="3"/>
  <c r="H50" i="3"/>
  <c r="H54" i="3" s="1"/>
  <c r="H48" i="3"/>
  <c r="H47" i="3"/>
  <c r="H46" i="3"/>
  <c r="H45" i="3"/>
  <c r="H44" i="3"/>
  <c r="H43" i="3"/>
  <c r="H42" i="3"/>
  <c r="H41" i="3"/>
  <c r="H49" i="3" s="1"/>
  <c r="H56" i="3" s="1"/>
  <c r="J57" i="3" s="1"/>
  <c r="H40" i="3"/>
  <c r="H32" i="3"/>
  <c r="H35" i="3" s="1"/>
  <c r="H31" i="3"/>
  <c r="H30" i="3"/>
  <c r="H25" i="3"/>
  <c r="H24" i="3"/>
  <c r="H26" i="3" s="1"/>
  <c r="H20" i="3"/>
  <c r="H19" i="3"/>
  <c r="H18" i="3"/>
  <c r="H13" i="3"/>
  <c r="H12" i="3"/>
  <c r="H11" i="3"/>
  <c r="H10" i="3"/>
  <c r="H14" i="3" s="1"/>
  <c r="H9" i="3"/>
  <c r="H8" i="3"/>
  <c r="H7" i="3"/>
  <c r="U23" i="2"/>
  <c r="H322" i="1"/>
  <c r="G322" i="1"/>
  <c r="F322" i="1"/>
  <c r="I322" i="1" s="1"/>
  <c r="I323" i="1" s="1"/>
  <c r="D49" i="2" s="1"/>
  <c r="H318" i="1"/>
  <c r="G318" i="1"/>
  <c r="F318" i="1"/>
  <c r="I318" i="1" s="1"/>
  <c r="H317" i="1"/>
  <c r="G317" i="1"/>
  <c r="F317" i="1"/>
  <c r="I317" i="1" s="1"/>
  <c r="H316" i="1"/>
  <c r="G316" i="1"/>
  <c r="F316" i="1"/>
  <c r="I316" i="1" s="1"/>
  <c r="H315" i="1"/>
  <c r="G315" i="1"/>
  <c r="F315" i="1"/>
  <c r="I315" i="1" s="1"/>
  <c r="K314" i="1"/>
  <c r="I314" i="1"/>
  <c r="H314" i="1"/>
  <c r="G314" i="1"/>
  <c r="F314" i="1"/>
  <c r="K313" i="1"/>
  <c r="H313" i="1"/>
  <c r="G313" i="1"/>
  <c r="F313" i="1"/>
  <c r="I313" i="1" s="1"/>
  <c r="K312" i="1"/>
  <c r="I312" i="1"/>
  <c r="H312" i="1"/>
  <c r="G312" i="1"/>
  <c r="F312" i="1"/>
  <c r="K311" i="1"/>
  <c r="F311" i="1" s="1"/>
  <c r="I311" i="1" s="1"/>
  <c r="H311" i="1"/>
  <c r="G311" i="1"/>
  <c r="K310" i="1"/>
  <c r="I310" i="1"/>
  <c r="H310" i="1"/>
  <c r="G310" i="1"/>
  <c r="F310" i="1"/>
  <c r="K309" i="1"/>
  <c r="H309" i="1"/>
  <c r="G309" i="1"/>
  <c r="F309" i="1"/>
  <c r="K308" i="1"/>
  <c r="I308" i="1"/>
  <c r="H308" i="1"/>
  <c r="G308" i="1"/>
  <c r="F308" i="1"/>
  <c r="I307" i="1"/>
  <c r="H307" i="1"/>
  <c r="G307" i="1"/>
  <c r="K306" i="1"/>
  <c r="I306" i="1"/>
  <c r="H306" i="1"/>
  <c r="G306" i="1"/>
  <c r="F306" i="1"/>
  <c r="K305" i="1"/>
  <c r="H305" i="1"/>
  <c r="I305" i="1" s="1"/>
  <c r="G305" i="1"/>
  <c r="H300" i="1"/>
  <c r="G300" i="1"/>
  <c r="F300" i="1"/>
  <c r="I300" i="1" s="1"/>
  <c r="K299" i="1"/>
  <c r="I299" i="1"/>
  <c r="H299" i="1"/>
  <c r="G299" i="1"/>
  <c r="F299" i="1"/>
  <c r="K298" i="1"/>
  <c r="H298" i="1"/>
  <c r="G298" i="1"/>
  <c r="F298" i="1"/>
  <c r="I298" i="1" s="1"/>
  <c r="I301" i="1" s="1"/>
  <c r="D45" i="2" s="1"/>
  <c r="K297" i="1"/>
  <c r="I297" i="1"/>
  <c r="H297" i="1"/>
  <c r="G297" i="1"/>
  <c r="F297" i="1"/>
  <c r="I296" i="1"/>
  <c r="H296" i="1"/>
  <c r="G296" i="1"/>
  <c r="F296" i="1"/>
  <c r="I295" i="1"/>
  <c r="H295" i="1"/>
  <c r="G295" i="1"/>
  <c r="H294" i="1"/>
  <c r="I294" i="1" s="1"/>
  <c r="G294" i="1"/>
  <c r="H293" i="1"/>
  <c r="G293" i="1"/>
  <c r="F293" i="1"/>
  <c r="I293" i="1" s="1"/>
  <c r="H288" i="1"/>
  <c r="G288" i="1"/>
  <c r="F288" i="1"/>
  <c r="I288" i="1" s="1"/>
  <c r="H287" i="1"/>
  <c r="G287" i="1"/>
  <c r="F287" i="1"/>
  <c r="H286" i="1"/>
  <c r="G286" i="1"/>
  <c r="F286" i="1"/>
  <c r="H285" i="1"/>
  <c r="G285" i="1"/>
  <c r="F285" i="1"/>
  <c r="I285" i="1" s="1"/>
  <c r="H284" i="1"/>
  <c r="G284" i="1"/>
  <c r="F284" i="1"/>
  <c r="I284" i="1" s="1"/>
  <c r="H283" i="1"/>
  <c r="G283" i="1"/>
  <c r="F283" i="1"/>
  <c r="H282" i="1"/>
  <c r="G282" i="1"/>
  <c r="F282" i="1"/>
  <c r="H281" i="1"/>
  <c r="G281" i="1"/>
  <c r="F281" i="1"/>
  <c r="I281" i="1" s="1"/>
  <c r="H280" i="1"/>
  <c r="G280" i="1"/>
  <c r="F280" i="1"/>
  <c r="I280" i="1" s="1"/>
  <c r="H279" i="1"/>
  <c r="G279" i="1"/>
  <c r="F279" i="1"/>
  <c r="H278" i="1"/>
  <c r="G278" i="1"/>
  <c r="F278" i="1"/>
  <c r="H277" i="1"/>
  <c r="G277" i="1"/>
  <c r="F277" i="1"/>
  <c r="I277" i="1" s="1"/>
  <c r="H276" i="1"/>
  <c r="G276" i="1"/>
  <c r="F276" i="1"/>
  <c r="I276" i="1" s="1"/>
  <c r="H275" i="1"/>
  <c r="G275" i="1"/>
  <c r="F275" i="1"/>
  <c r="H274" i="1"/>
  <c r="G274" i="1"/>
  <c r="F274" i="1"/>
  <c r="Q273" i="1"/>
  <c r="I273" i="1"/>
  <c r="H273" i="1"/>
  <c r="G273" i="1"/>
  <c r="F273" i="1"/>
  <c r="I272" i="1"/>
  <c r="H272" i="1"/>
  <c r="G272" i="1"/>
  <c r="F272" i="1"/>
  <c r="Q271" i="1"/>
  <c r="K271" i="1"/>
  <c r="I271" i="1"/>
  <c r="H271" i="1"/>
  <c r="G271" i="1"/>
  <c r="F271" i="1"/>
  <c r="Q270" i="1"/>
  <c r="O270" i="1"/>
  <c r="I270" i="1"/>
  <c r="H270" i="1"/>
  <c r="G270" i="1"/>
  <c r="F270" i="1"/>
  <c r="I269" i="1"/>
  <c r="H269" i="1"/>
  <c r="G269" i="1"/>
  <c r="F269" i="1"/>
  <c r="I268" i="1"/>
  <c r="H268" i="1"/>
  <c r="G268" i="1"/>
  <c r="F268" i="1"/>
  <c r="I267" i="1"/>
  <c r="H267" i="1"/>
  <c r="G267" i="1"/>
  <c r="F267" i="1"/>
  <c r="I266" i="1"/>
  <c r="H266" i="1"/>
  <c r="G266" i="1"/>
  <c r="F266" i="1"/>
  <c r="I265" i="1"/>
  <c r="H265" i="1"/>
  <c r="G265" i="1"/>
  <c r="F265" i="1"/>
  <c r="P264" i="1"/>
  <c r="H264" i="1"/>
  <c r="G264" i="1"/>
  <c r="F264" i="1"/>
  <c r="I264" i="1" s="1"/>
  <c r="P263" i="1"/>
  <c r="H263" i="1"/>
  <c r="G263" i="1"/>
  <c r="F263" i="1"/>
  <c r="I263" i="1" s="1"/>
  <c r="H262" i="1"/>
  <c r="G262" i="1"/>
  <c r="F262" i="1"/>
  <c r="I262" i="1" s="1"/>
  <c r="H261" i="1"/>
  <c r="G261" i="1"/>
  <c r="F261" i="1"/>
  <c r="I261" i="1" s="1"/>
  <c r="H260" i="1"/>
  <c r="G260" i="1"/>
  <c r="F260" i="1"/>
  <c r="I260" i="1" s="1"/>
  <c r="H259" i="1"/>
  <c r="G259" i="1"/>
  <c r="F259" i="1"/>
  <c r="I259" i="1" s="1"/>
  <c r="H258" i="1"/>
  <c r="G258" i="1"/>
  <c r="F258" i="1"/>
  <c r="H257" i="1"/>
  <c r="G257" i="1"/>
  <c r="F257" i="1"/>
  <c r="I257" i="1" s="1"/>
  <c r="H256" i="1"/>
  <c r="G256" i="1"/>
  <c r="F256" i="1"/>
  <c r="I256" i="1" s="1"/>
  <c r="H255" i="1"/>
  <c r="G255" i="1"/>
  <c r="F255" i="1"/>
  <c r="H254" i="1"/>
  <c r="G254" i="1"/>
  <c r="F254" i="1"/>
  <c r="H253" i="1"/>
  <c r="G253" i="1"/>
  <c r="F253" i="1"/>
  <c r="I253" i="1" s="1"/>
  <c r="H252" i="1"/>
  <c r="G252" i="1"/>
  <c r="F252" i="1"/>
  <c r="I252" i="1" s="1"/>
  <c r="H251" i="1"/>
  <c r="G251" i="1"/>
  <c r="F251" i="1"/>
  <c r="H250" i="1"/>
  <c r="G250" i="1"/>
  <c r="F250" i="1"/>
  <c r="H249" i="1"/>
  <c r="G249" i="1"/>
  <c r="F249" i="1"/>
  <c r="I249" i="1" s="1"/>
  <c r="H248" i="1"/>
  <c r="G248" i="1"/>
  <c r="F248" i="1"/>
  <c r="I248" i="1" s="1"/>
  <c r="H247" i="1"/>
  <c r="G247" i="1"/>
  <c r="F247" i="1"/>
  <c r="I247" i="1" s="1"/>
  <c r="H246" i="1"/>
  <c r="G246" i="1"/>
  <c r="F246" i="1"/>
  <c r="I246" i="1" s="1"/>
  <c r="H245" i="1"/>
  <c r="G245" i="1"/>
  <c r="F245" i="1"/>
  <c r="I245" i="1" s="1"/>
  <c r="H244" i="1"/>
  <c r="G244" i="1"/>
  <c r="F244" i="1"/>
  <c r="I244" i="1" s="1"/>
  <c r="H243" i="1"/>
  <c r="G243" i="1"/>
  <c r="F243" i="1"/>
  <c r="I243" i="1" s="1"/>
  <c r="H242" i="1"/>
  <c r="G242" i="1"/>
  <c r="F242" i="1"/>
  <c r="I242" i="1" s="1"/>
  <c r="H241" i="1"/>
  <c r="G241" i="1"/>
  <c r="F241" i="1"/>
  <c r="I241" i="1" s="1"/>
  <c r="H240" i="1"/>
  <c r="G240" i="1"/>
  <c r="F240" i="1"/>
  <c r="I240" i="1" s="1"/>
  <c r="H239" i="1"/>
  <c r="G239" i="1"/>
  <c r="F239" i="1"/>
  <c r="I239" i="1" s="1"/>
  <c r="H238" i="1"/>
  <c r="G238" i="1"/>
  <c r="F238" i="1"/>
  <c r="I238" i="1" s="1"/>
  <c r="H237" i="1"/>
  <c r="G237" i="1"/>
  <c r="F237" i="1"/>
  <c r="I237" i="1" s="1"/>
  <c r="H236" i="1"/>
  <c r="G236" i="1"/>
  <c r="F236" i="1"/>
  <c r="I236" i="1" s="1"/>
  <c r="H235" i="1"/>
  <c r="G235" i="1"/>
  <c r="F235" i="1"/>
  <c r="I235" i="1" s="1"/>
  <c r="H234" i="1"/>
  <c r="G234" i="1"/>
  <c r="F234" i="1"/>
  <c r="I234" i="1" s="1"/>
  <c r="H233" i="1"/>
  <c r="G233" i="1"/>
  <c r="F233" i="1"/>
  <c r="I233" i="1" s="1"/>
  <c r="H232" i="1"/>
  <c r="G232" i="1"/>
  <c r="F232" i="1"/>
  <c r="I232" i="1" s="1"/>
  <c r="H231" i="1"/>
  <c r="G231" i="1"/>
  <c r="F231" i="1"/>
  <c r="I231" i="1" s="1"/>
  <c r="H230" i="1"/>
  <c r="G230" i="1"/>
  <c r="F230" i="1"/>
  <c r="I230" i="1" s="1"/>
  <c r="H229" i="1"/>
  <c r="G229" i="1"/>
  <c r="F229" i="1"/>
  <c r="I229" i="1" s="1"/>
  <c r="H228" i="1"/>
  <c r="G228" i="1"/>
  <c r="F228" i="1"/>
  <c r="I228" i="1" s="1"/>
  <c r="H227" i="1"/>
  <c r="G227" i="1"/>
  <c r="F227" i="1"/>
  <c r="I227" i="1" s="1"/>
  <c r="H226" i="1"/>
  <c r="G226" i="1"/>
  <c r="F226" i="1"/>
  <c r="I226" i="1" s="1"/>
  <c r="K225" i="1"/>
  <c r="I225" i="1"/>
  <c r="H225" i="1"/>
  <c r="G225" i="1"/>
  <c r="I220" i="1"/>
  <c r="H220" i="1"/>
  <c r="G220" i="1"/>
  <c r="F220" i="1"/>
  <c r="I219" i="1"/>
  <c r="H219" i="1"/>
  <c r="G219" i="1"/>
  <c r="F219" i="1"/>
  <c r="I218" i="1"/>
  <c r="H218" i="1"/>
  <c r="G218" i="1"/>
  <c r="F218" i="1"/>
  <c r="I217" i="1"/>
  <c r="H217" i="1"/>
  <c r="G217" i="1"/>
  <c r="F217" i="1"/>
  <c r="I216" i="1"/>
  <c r="H216" i="1"/>
  <c r="G216" i="1"/>
  <c r="F216" i="1"/>
  <c r="I215" i="1"/>
  <c r="H215" i="1"/>
  <c r="G215" i="1"/>
  <c r="F215" i="1"/>
  <c r="I214" i="1"/>
  <c r="H214" i="1"/>
  <c r="G214" i="1"/>
  <c r="F214" i="1"/>
  <c r="I213" i="1"/>
  <c r="H213" i="1"/>
  <c r="G213" i="1"/>
  <c r="F213" i="1"/>
  <c r="I212" i="1"/>
  <c r="H212" i="1"/>
  <c r="G212" i="1"/>
  <c r="F212" i="1"/>
  <c r="I211" i="1"/>
  <c r="H211" i="1"/>
  <c r="G211" i="1"/>
  <c r="F211" i="1"/>
  <c r="I210" i="1"/>
  <c r="H210" i="1"/>
  <c r="G210" i="1"/>
  <c r="F210" i="1"/>
  <c r="I209" i="1"/>
  <c r="H209" i="1"/>
  <c r="G209" i="1"/>
  <c r="F209" i="1"/>
  <c r="I208" i="1"/>
  <c r="H208" i="1"/>
  <c r="G208" i="1"/>
  <c r="F208" i="1"/>
  <c r="K207" i="1"/>
  <c r="F207" i="1" s="1"/>
  <c r="I207" i="1" s="1"/>
  <c r="H207" i="1"/>
  <c r="G207" i="1"/>
  <c r="H206" i="1"/>
  <c r="G206" i="1"/>
  <c r="F206" i="1"/>
  <c r="I206" i="1" s="1"/>
  <c r="H205" i="1"/>
  <c r="G205" i="1"/>
  <c r="F205" i="1"/>
  <c r="I205" i="1" s="1"/>
  <c r="H204" i="1"/>
  <c r="G204" i="1"/>
  <c r="F204" i="1"/>
  <c r="I204" i="1" s="1"/>
  <c r="H203" i="1"/>
  <c r="G203" i="1"/>
  <c r="F203" i="1"/>
  <c r="I203" i="1" s="1"/>
  <c r="K202" i="1"/>
  <c r="H202" i="1"/>
  <c r="G202" i="1"/>
  <c r="F202" i="1"/>
  <c r="I202" i="1" s="1"/>
  <c r="H201" i="1"/>
  <c r="G201" i="1"/>
  <c r="F201" i="1"/>
  <c r="I201" i="1" s="1"/>
  <c r="H200" i="1"/>
  <c r="G200" i="1"/>
  <c r="F200" i="1"/>
  <c r="I200" i="1" s="1"/>
  <c r="H199" i="1"/>
  <c r="G199" i="1"/>
  <c r="F199" i="1"/>
  <c r="I199" i="1" s="1"/>
  <c r="H198" i="1"/>
  <c r="G198" i="1"/>
  <c r="F198" i="1"/>
  <c r="I198" i="1" s="1"/>
  <c r="H197" i="1"/>
  <c r="G197" i="1"/>
  <c r="F197" i="1"/>
  <c r="I197" i="1" s="1"/>
  <c r="H196" i="1"/>
  <c r="G196" i="1"/>
  <c r="F196" i="1"/>
  <c r="I196" i="1" s="1"/>
  <c r="H195" i="1"/>
  <c r="G195" i="1"/>
  <c r="F195" i="1"/>
  <c r="I195" i="1" s="1"/>
  <c r="H194" i="1"/>
  <c r="G194" i="1"/>
  <c r="F194" i="1"/>
  <c r="I194" i="1" s="1"/>
  <c r="K190" i="1"/>
  <c r="I190" i="1"/>
  <c r="H190" i="1"/>
  <c r="G190" i="1"/>
  <c r="F190" i="1"/>
  <c r="I189" i="1"/>
  <c r="H189" i="1"/>
  <c r="G189" i="1"/>
  <c r="F189" i="1"/>
  <c r="I188" i="1"/>
  <c r="H188" i="1"/>
  <c r="G188" i="1"/>
  <c r="F188" i="1"/>
  <c r="I187" i="1"/>
  <c r="H187" i="1"/>
  <c r="G187" i="1"/>
  <c r="F187" i="1"/>
  <c r="I186" i="1"/>
  <c r="H186" i="1"/>
  <c r="G186" i="1"/>
  <c r="F186" i="1"/>
  <c r="I185" i="1"/>
  <c r="H185" i="1"/>
  <c r="G185" i="1"/>
  <c r="F185" i="1"/>
  <c r="I184" i="1"/>
  <c r="H184" i="1"/>
  <c r="G184" i="1"/>
  <c r="F184" i="1"/>
  <c r="I183" i="1"/>
  <c r="H183" i="1"/>
  <c r="G183" i="1"/>
  <c r="F183" i="1"/>
  <c r="I182" i="1"/>
  <c r="H182" i="1"/>
  <c r="G182" i="1"/>
  <c r="F182" i="1"/>
  <c r="I181" i="1"/>
  <c r="H181" i="1"/>
  <c r="G181" i="1"/>
  <c r="F181" i="1"/>
  <c r="I180" i="1"/>
  <c r="H180" i="1"/>
  <c r="G180" i="1"/>
  <c r="F180" i="1"/>
  <c r="I179" i="1"/>
  <c r="H179" i="1"/>
  <c r="G179" i="1"/>
  <c r="F179" i="1"/>
  <c r="I178" i="1"/>
  <c r="H178" i="1"/>
  <c r="G178" i="1"/>
  <c r="F178" i="1"/>
  <c r="I177" i="1"/>
  <c r="H177" i="1"/>
  <c r="G177" i="1"/>
  <c r="F177" i="1"/>
  <c r="I176" i="1"/>
  <c r="H176" i="1"/>
  <c r="G176" i="1"/>
  <c r="F176" i="1"/>
  <c r="I175" i="1"/>
  <c r="H175" i="1"/>
  <c r="G175" i="1"/>
  <c r="F175" i="1"/>
  <c r="I174" i="1"/>
  <c r="H174" i="1"/>
  <c r="G174" i="1"/>
  <c r="F174" i="1"/>
  <c r="I173" i="1"/>
  <c r="H173" i="1"/>
  <c r="G173" i="1"/>
  <c r="F173" i="1"/>
  <c r="I172" i="1"/>
  <c r="H172" i="1"/>
  <c r="G172" i="1"/>
  <c r="F172" i="1"/>
  <c r="I171" i="1"/>
  <c r="H171" i="1"/>
  <c r="G171" i="1"/>
  <c r="F171" i="1"/>
  <c r="I170" i="1"/>
  <c r="H170" i="1"/>
  <c r="G170" i="1"/>
  <c r="F170" i="1"/>
  <c r="I169" i="1"/>
  <c r="H169" i="1"/>
  <c r="G169" i="1"/>
  <c r="F169" i="1"/>
  <c r="I168" i="1"/>
  <c r="H168" i="1"/>
  <c r="G168" i="1"/>
  <c r="F168" i="1"/>
  <c r="I167" i="1"/>
  <c r="H167" i="1"/>
  <c r="G167" i="1"/>
  <c r="F167" i="1"/>
  <c r="I166" i="1"/>
  <c r="H166" i="1"/>
  <c r="G166" i="1"/>
  <c r="F166" i="1"/>
  <c r="I165" i="1"/>
  <c r="H165" i="1"/>
  <c r="G165" i="1"/>
  <c r="F165" i="1"/>
  <c r="I164" i="1"/>
  <c r="H164" i="1"/>
  <c r="G164" i="1"/>
  <c r="F164" i="1"/>
  <c r="I163" i="1"/>
  <c r="H163" i="1"/>
  <c r="G163" i="1"/>
  <c r="F163" i="1"/>
  <c r="I162" i="1"/>
  <c r="H162" i="1"/>
  <c r="G162" i="1"/>
  <c r="F162" i="1"/>
  <c r="I161" i="1"/>
  <c r="H161" i="1"/>
  <c r="G161" i="1"/>
  <c r="F161" i="1"/>
  <c r="I160" i="1"/>
  <c r="H160" i="1"/>
  <c r="G160" i="1"/>
  <c r="F160" i="1"/>
  <c r="I159" i="1"/>
  <c r="H159" i="1"/>
  <c r="G159" i="1"/>
  <c r="F159" i="1"/>
  <c r="I158" i="1"/>
  <c r="H158" i="1"/>
  <c r="G158" i="1"/>
  <c r="F158" i="1"/>
  <c r="I157" i="1"/>
  <c r="H157" i="1"/>
  <c r="G157" i="1"/>
  <c r="F157" i="1"/>
  <c r="I156" i="1"/>
  <c r="H156" i="1"/>
  <c r="G156" i="1"/>
  <c r="F156" i="1"/>
  <c r="I155" i="1"/>
  <c r="H155" i="1"/>
  <c r="G155" i="1"/>
  <c r="F155" i="1"/>
  <c r="I154" i="1"/>
  <c r="H154" i="1"/>
  <c r="G154" i="1"/>
  <c r="F154" i="1"/>
  <c r="I153" i="1"/>
  <c r="H153" i="1"/>
  <c r="G153" i="1"/>
  <c r="F153" i="1"/>
  <c r="I152" i="1"/>
  <c r="H152" i="1"/>
  <c r="G152" i="1"/>
  <c r="F152" i="1"/>
  <c r="I151" i="1"/>
  <c r="H151" i="1"/>
  <c r="G151" i="1"/>
  <c r="F151" i="1"/>
  <c r="I150" i="1"/>
  <c r="H150" i="1"/>
  <c r="G150" i="1"/>
  <c r="F150" i="1"/>
  <c r="I149" i="1"/>
  <c r="H149" i="1"/>
  <c r="G149" i="1"/>
  <c r="F149" i="1"/>
  <c r="I148" i="1"/>
  <c r="H148" i="1"/>
  <c r="G148" i="1"/>
  <c r="F148" i="1"/>
  <c r="I147" i="1"/>
  <c r="H147" i="1"/>
  <c r="G147" i="1"/>
  <c r="F147" i="1"/>
  <c r="I146" i="1"/>
  <c r="H146" i="1"/>
  <c r="G146" i="1"/>
  <c r="F146" i="1"/>
  <c r="I145" i="1"/>
  <c r="H145" i="1"/>
  <c r="G145" i="1"/>
  <c r="F145" i="1"/>
  <c r="I144" i="1"/>
  <c r="H144" i="1"/>
  <c r="G144" i="1"/>
  <c r="F144" i="1"/>
  <c r="I143" i="1"/>
  <c r="H143" i="1"/>
  <c r="G143" i="1"/>
  <c r="F143" i="1"/>
  <c r="I142" i="1"/>
  <c r="H142" i="1"/>
  <c r="G142" i="1"/>
  <c r="F142" i="1"/>
  <c r="K141" i="1"/>
  <c r="H141" i="1"/>
  <c r="G141" i="1"/>
  <c r="F141" i="1"/>
  <c r="I141" i="1" s="1"/>
  <c r="K140" i="1"/>
  <c r="H140" i="1"/>
  <c r="G140" i="1"/>
  <c r="F140" i="1"/>
  <c r="I140" i="1" s="1"/>
  <c r="H139" i="1"/>
  <c r="G139" i="1"/>
  <c r="F139" i="1"/>
  <c r="I139" i="1" s="1"/>
  <c r="H138" i="1"/>
  <c r="G138" i="1"/>
  <c r="F138" i="1"/>
  <c r="I138" i="1" s="1"/>
  <c r="H137" i="1"/>
  <c r="G137" i="1"/>
  <c r="F137" i="1"/>
  <c r="I137" i="1" s="1"/>
  <c r="K136" i="1"/>
  <c r="H136" i="1"/>
  <c r="I136" i="1" s="1"/>
  <c r="G136" i="1"/>
  <c r="F136" i="1"/>
  <c r="K135" i="1"/>
  <c r="I135" i="1"/>
  <c r="H135" i="1"/>
  <c r="G135" i="1"/>
  <c r="F135" i="1"/>
  <c r="K134" i="1"/>
  <c r="F134" i="1" s="1"/>
  <c r="I134" i="1" s="1"/>
  <c r="H134" i="1"/>
  <c r="G134" i="1"/>
  <c r="K133" i="1"/>
  <c r="H133" i="1"/>
  <c r="G133" i="1"/>
  <c r="F133" i="1"/>
  <c r="I133" i="1" s="1"/>
  <c r="K132" i="1"/>
  <c r="H132" i="1"/>
  <c r="I132" i="1" s="1"/>
  <c r="G132" i="1"/>
  <c r="F132" i="1"/>
  <c r="K131" i="1"/>
  <c r="I131" i="1"/>
  <c r="H131" i="1"/>
  <c r="G131" i="1"/>
  <c r="F131" i="1"/>
  <c r="K130" i="1"/>
  <c r="F130" i="1" s="1"/>
  <c r="I130" i="1" s="1"/>
  <c r="H130" i="1"/>
  <c r="G130" i="1"/>
  <c r="K129" i="1"/>
  <c r="K128" i="1" s="1"/>
  <c r="F128" i="1" s="1"/>
  <c r="I128" i="1" s="1"/>
  <c r="H129" i="1"/>
  <c r="G129" i="1"/>
  <c r="F129" i="1"/>
  <c r="I129" i="1" s="1"/>
  <c r="H128" i="1"/>
  <c r="G128" i="1"/>
  <c r="H127" i="1"/>
  <c r="I127" i="1" s="1"/>
  <c r="I191" i="1" s="1"/>
  <c r="D39" i="2" s="1"/>
  <c r="G127" i="1"/>
  <c r="F127" i="1"/>
  <c r="K123" i="1"/>
  <c r="F123" i="1" s="1"/>
  <c r="I123" i="1" s="1"/>
  <c r="H123" i="1"/>
  <c r="G123" i="1"/>
  <c r="K122" i="1"/>
  <c r="H122" i="1"/>
  <c r="G122" i="1"/>
  <c r="F122" i="1"/>
  <c r="I122" i="1" s="1"/>
  <c r="H121" i="1"/>
  <c r="G121" i="1"/>
  <c r="K120" i="1"/>
  <c r="K121" i="1" s="1"/>
  <c r="F121" i="1" s="1"/>
  <c r="I121" i="1" s="1"/>
  <c r="I120" i="1"/>
  <c r="H120" i="1"/>
  <c r="G120" i="1"/>
  <c r="F120" i="1"/>
  <c r="K119" i="1"/>
  <c r="H119" i="1"/>
  <c r="G119" i="1"/>
  <c r="F119" i="1"/>
  <c r="I119" i="1" s="1"/>
  <c r="K118" i="1"/>
  <c r="H118" i="1"/>
  <c r="G118" i="1"/>
  <c r="F118" i="1"/>
  <c r="I118" i="1" s="1"/>
  <c r="K117" i="1"/>
  <c r="H117" i="1"/>
  <c r="I117" i="1" s="1"/>
  <c r="G117" i="1"/>
  <c r="F117" i="1"/>
  <c r="K116" i="1"/>
  <c r="I116" i="1"/>
  <c r="H116" i="1"/>
  <c r="G116" i="1"/>
  <c r="F116" i="1"/>
  <c r="K112" i="1"/>
  <c r="H112" i="1"/>
  <c r="G112" i="1"/>
  <c r="F112" i="1"/>
  <c r="I112" i="1" s="1"/>
  <c r="K111" i="1"/>
  <c r="H111" i="1"/>
  <c r="I111" i="1" s="1"/>
  <c r="G111" i="1"/>
  <c r="F111" i="1"/>
  <c r="H110" i="1"/>
  <c r="I110" i="1" s="1"/>
  <c r="G110" i="1"/>
  <c r="F110" i="1"/>
  <c r="N106" i="1"/>
  <c r="K106" i="1"/>
  <c r="H106" i="1"/>
  <c r="G106" i="1"/>
  <c r="F106" i="1"/>
  <c r="I106" i="1" s="1"/>
  <c r="K105" i="1"/>
  <c r="H105" i="1"/>
  <c r="I105" i="1" s="1"/>
  <c r="G105" i="1"/>
  <c r="F105" i="1"/>
  <c r="K104" i="1"/>
  <c r="I104" i="1"/>
  <c r="H104" i="1"/>
  <c r="G104" i="1"/>
  <c r="F104" i="1"/>
  <c r="K103" i="1"/>
  <c r="H103" i="1"/>
  <c r="G103" i="1"/>
  <c r="F103" i="1"/>
  <c r="I103" i="1" s="1"/>
  <c r="N102" i="1"/>
  <c r="K102" i="1"/>
  <c r="H102" i="1"/>
  <c r="I102" i="1" s="1"/>
  <c r="G102" i="1"/>
  <c r="F102" i="1"/>
  <c r="M98" i="1"/>
  <c r="K98" i="1"/>
  <c r="H98" i="1"/>
  <c r="G98" i="1"/>
  <c r="F98" i="1"/>
  <c r="I98" i="1" s="1"/>
  <c r="K97" i="1"/>
  <c r="H97" i="1"/>
  <c r="I97" i="1" s="1"/>
  <c r="G97" i="1"/>
  <c r="F97" i="1"/>
  <c r="N96" i="1"/>
  <c r="M96" i="1"/>
  <c r="K96" i="1"/>
  <c r="H96" i="1"/>
  <c r="G96" i="1"/>
  <c r="F96" i="1"/>
  <c r="I96" i="1" s="1"/>
  <c r="H95" i="1"/>
  <c r="G95" i="1"/>
  <c r="K94" i="1"/>
  <c r="K95" i="1" s="1"/>
  <c r="F95" i="1" s="1"/>
  <c r="I95" i="1" s="1"/>
  <c r="H94" i="1"/>
  <c r="G94" i="1"/>
  <c r="M90" i="1"/>
  <c r="K90" i="1"/>
  <c r="I90" i="1"/>
  <c r="H90" i="1"/>
  <c r="G90" i="1"/>
  <c r="F90" i="1"/>
  <c r="K89" i="1"/>
  <c r="H89" i="1"/>
  <c r="G89" i="1"/>
  <c r="F89" i="1"/>
  <c r="I89" i="1" s="1"/>
  <c r="M88" i="1"/>
  <c r="K88" i="1"/>
  <c r="H88" i="1"/>
  <c r="I88" i="1" s="1"/>
  <c r="G88" i="1"/>
  <c r="F88" i="1"/>
  <c r="M87" i="1"/>
  <c r="K87" i="1"/>
  <c r="H87" i="1"/>
  <c r="G87" i="1"/>
  <c r="F87" i="1"/>
  <c r="I87" i="1" s="1"/>
  <c r="N86" i="1"/>
  <c r="K86" i="1"/>
  <c r="H86" i="1"/>
  <c r="I86" i="1" s="1"/>
  <c r="G86" i="1"/>
  <c r="F86" i="1"/>
  <c r="H84" i="1"/>
  <c r="I84" i="1" s="1"/>
  <c r="G84" i="1"/>
  <c r="F84" i="1"/>
  <c r="H83" i="1"/>
  <c r="I83" i="1" s="1"/>
  <c r="G83" i="1"/>
  <c r="F83" i="1"/>
  <c r="H82" i="1"/>
  <c r="I82" i="1" s="1"/>
  <c r="G82" i="1"/>
  <c r="F82" i="1"/>
  <c r="Q81" i="1"/>
  <c r="I81" i="1"/>
  <c r="H81" i="1"/>
  <c r="G81" i="1"/>
  <c r="F81" i="1"/>
  <c r="K76" i="1"/>
  <c r="H76" i="1"/>
  <c r="G76" i="1"/>
  <c r="F76" i="1"/>
  <c r="I76" i="1" s="1"/>
  <c r="N75" i="1"/>
  <c r="K75" i="1"/>
  <c r="I75" i="1"/>
  <c r="H75" i="1"/>
  <c r="G75" i="1"/>
  <c r="F75" i="1"/>
  <c r="N74" i="1"/>
  <c r="M74" i="1"/>
  <c r="H74" i="1"/>
  <c r="I74" i="1" s="1"/>
  <c r="G74" i="1"/>
  <c r="H73" i="1"/>
  <c r="G73" i="1"/>
  <c r="H72" i="1"/>
  <c r="G72" i="1"/>
  <c r="F72" i="1"/>
  <c r="I72" i="1" s="1"/>
  <c r="H71" i="1"/>
  <c r="G71" i="1"/>
  <c r="F71" i="1"/>
  <c r="I71" i="1" s="1"/>
  <c r="K67" i="1"/>
  <c r="I67" i="1"/>
  <c r="H67" i="1"/>
  <c r="G67" i="1"/>
  <c r="F67" i="1"/>
  <c r="K66" i="1"/>
  <c r="F66" i="1" s="1"/>
  <c r="I66" i="1" s="1"/>
  <c r="H66" i="1"/>
  <c r="G66" i="1"/>
  <c r="M65" i="1"/>
  <c r="K65" i="1"/>
  <c r="O94" i="1" s="1"/>
  <c r="H65" i="1"/>
  <c r="I65" i="1" s="1"/>
  <c r="I68" i="1" s="1"/>
  <c r="D25" i="2" s="1"/>
  <c r="G65" i="1"/>
  <c r="F65" i="1"/>
  <c r="K61" i="1"/>
  <c r="H61" i="1"/>
  <c r="G61" i="1"/>
  <c r="F61" i="1"/>
  <c r="I61" i="1" s="1"/>
  <c r="H60" i="1"/>
  <c r="G60" i="1"/>
  <c r="H59" i="1"/>
  <c r="G59" i="1"/>
  <c r="F59" i="1"/>
  <c r="I59" i="1" s="1"/>
  <c r="H58" i="1"/>
  <c r="G58" i="1"/>
  <c r="F58" i="1"/>
  <c r="I58" i="1" s="1"/>
  <c r="H57" i="1"/>
  <c r="G57" i="1"/>
  <c r="N56" i="1"/>
  <c r="M56" i="1"/>
  <c r="K56" i="1"/>
  <c r="K57" i="1" s="1"/>
  <c r="F57" i="1" s="1"/>
  <c r="I57" i="1" s="1"/>
  <c r="H56" i="1"/>
  <c r="G56" i="1"/>
  <c r="F56" i="1"/>
  <c r="I56" i="1" s="1"/>
  <c r="H52" i="1"/>
  <c r="I52" i="1" s="1"/>
  <c r="G52" i="1"/>
  <c r="F52" i="1"/>
  <c r="H51" i="1"/>
  <c r="I51" i="1" s="1"/>
  <c r="G51" i="1"/>
  <c r="F51" i="1"/>
  <c r="K50" i="1"/>
  <c r="I50" i="1"/>
  <c r="H50" i="1"/>
  <c r="G50" i="1"/>
  <c r="F50" i="1"/>
  <c r="M49" i="1"/>
  <c r="H49" i="1"/>
  <c r="G49" i="1"/>
  <c r="F49" i="1"/>
  <c r="I49" i="1" s="1"/>
  <c r="K48" i="1"/>
  <c r="H48" i="1"/>
  <c r="G48" i="1"/>
  <c r="F48" i="1"/>
  <c r="I48" i="1" s="1"/>
  <c r="N47" i="1"/>
  <c r="M47" i="1"/>
  <c r="I47" i="1"/>
  <c r="H47" i="1"/>
  <c r="G47" i="1"/>
  <c r="F47" i="1"/>
  <c r="I46" i="1"/>
  <c r="H46" i="1"/>
  <c r="G46" i="1"/>
  <c r="F46" i="1"/>
  <c r="O43" i="1"/>
  <c r="H42" i="1"/>
  <c r="I42" i="1" s="1"/>
  <c r="G42" i="1"/>
  <c r="I41" i="1"/>
  <c r="H41" i="1"/>
  <c r="G41" i="1"/>
  <c r="M37" i="1"/>
  <c r="K37" i="1"/>
  <c r="H37" i="1"/>
  <c r="I37" i="1" s="1"/>
  <c r="G37" i="1"/>
  <c r="F37" i="1"/>
  <c r="H36" i="1"/>
  <c r="I36" i="1" s="1"/>
  <c r="G36" i="1"/>
  <c r="F36" i="1"/>
  <c r="H35" i="1"/>
  <c r="I35" i="1" s="1"/>
  <c r="G35" i="1"/>
  <c r="F35" i="1"/>
  <c r="H34" i="1"/>
  <c r="I34" i="1" s="1"/>
  <c r="G34" i="1"/>
  <c r="F34" i="1"/>
  <c r="O33" i="1"/>
  <c r="M33" i="1"/>
  <c r="K33" i="1"/>
  <c r="H33" i="1"/>
  <c r="G33" i="1"/>
  <c r="F33" i="1"/>
  <c r="I33" i="1" s="1"/>
  <c r="K32" i="1"/>
  <c r="H32" i="1"/>
  <c r="I32" i="1" s="1"/>
  <c r="G32" i="1"/>
  <c r="F32" i="1"/>
  <c r="K31" i="1"/>
  <c r="I31" i="1"/>
  <c r="H31" i="1"/>
  <c r="G31" i="1"/>
  <c r="F31" i="1"/>
  <c r="K30" i="1"/>
  <c r="F30" i="1" s="1"/>
  <c r="I30" i="1" s="1"/>
  <c r="H30" i="1"/>
  <c r="G30" i="1"/>
  <c r="K29" i="1"/>
  <c r="H29" i="1"/>
  <c r="G29" i="1"/>
  <c r="F29" i="1"/>
  <c r="I29" i="1" s="1"/>
  <c r="K28" i="1"/>
  <c r="H28" i="1"/>
  <c r="I28" i="1" s="1"/>
  <c r="G28" i="1"/>
  <c r="K27" i="1"/>
  <c r="H27" i="1"/>
  <c r="I27" i="1" s="1"/>
  <c r="G27" i="1"/>
  <c r="F27" i="1"/>
  <c r="H26" i="1"/>
  <c r="G26" i="1"/>
  <c r="K25" i="1"/>
  <c r="K26" i="1" s="1"/>
  <c r="F26" i="1" s="1"/>
  <c r="I26" i="1" s="1"/>
  <c r="H25" i="1"/>
  <c r="G25" i="1"/>
  <c r="K21" i="1"/>
  <c r="H21" i="1"/>
  <c r="I21" i="1" s="1"/>
  <c r="G21" i="1"/>
  <c r="F21" i="1"/>
  <c r="H20" i="1"/>
  <c r="I20" i="1" s="1"/>
  <c r="G20" i="1"/>
  <c r="F20" i="1"/>
  <c r="K19" i="1"/>
  <c r="I19" i="1"/>
  <c r="H19" i="1"/>
  <c r="G19" i="1"/>
  <c r="F19" i="1"/>
  <c r="K18" i="1"/>
  <c r="H18" i="1"/>
  <c r="G18" i="1"/>
  <c r="F18" i="1"/>
  <c r="I18" i="1" s="1"/>
  <c r="O17" i="1"/>
  <c r="K17" i="1"/>
  <c r="H17" i="1"/>
  <c r="I17" i="1" s="1"/>
  <c r="G17" i="1"/>
  <c r="F17" i="1"/>
  <c r="I107" i="1" l="1"/>
  <c r="D33" i="2" s="1"/>
  <c r="L39" i="2"/>
  <c r="J39" i="2"/>
  <c r="P39" i="2"/>
  <c r="H39" i="2"/>
  <c r="N39" i="2"/>
  <c r="F39" i="2"/>
  <c r="I53" i="1"/>
  <c r="D21" i="2" s="1"/>
  <c r="L25" i="2"/>
  <c r="J25" i="2"/>
  <c r="P25" i="2"/>
  <c r="H25" i="2"/>
  <c r="N25" i="2"/>
  <c r="F25" i="2"/>
  <c r="I91" i="1"/>
  <c r="D29" i="2" s="1"/>
  <c r="I221" i="1"/>
  <c r="D41" i="2" s="1"/>
  <c r="I22" i="1"/>
  <c r="D15" i="2" s="1"/>
  <c r="I43" i="1"/>
  <c r="D19" i="2" s="1"/>
  <c r="I113" i="1"/>
  <c r="D35" i="2" s="1"/>
  <c r="I124" i="1"/>
  <c r="D37" i="2" s="1"/>
  <c r="L45" i="2"/>
  <c r="J45" i="2"/>
  <c r="P45" i="2"/>
  <c r="H45" i="2"/>
  <c r="N45" i="2"/>
  <c r="F45" i="2"/>
  <c r="K60" i="1"/>
  <c r="F60" i="1" s="1"/>
  <c r="I60" i="1" s="1"/>
  <c r="I62" i="1" s="1"/>
  <c r="D23" i="2" s="1"/>
  <c r="K73" i="1"/>
  <c r="F73" i="1" s="1"/>
  <c r="I73" i="1" s="1"/>
  <c r="I77" i="1" s="1"/>
  <c r="D27" i="2" s="1"/>
  <c r="F94" i="1"/>
  <c r="I94" i="1" s="1"/>
  <c r="I99" i="1" s="1"/>
  <c r="D31" i="2" s="1"/>
  <c r="L49" i="2"/>
  <c r="J49" i="2"/>
  <c r="P49" i="2"/>
  <c r="H49" i="2"/>
  <c r="N49" i="2"/>
  <c r="F49" i="2"/>
  <c r="I251" i="1"/>
  <c r="I255" i="1"/>
  <c r="I275" i="1"/>
  <c r="I279" i="1"/>
  <c r="I283" i="1"/>
  <c r="I287" i="1"/>
  <c r="I309" i="1"/>
  <c r="F25" i="1"/>
  <c r="I25" i="1" s="1"/>
  <c r="I38" i="1" s="1"/>
  <c r="D17" i="2" s="1"/>
  <c r="I289" i="1"/>
  <c r="D43" i="2" s="1"/>
  <c r="I250" i="1"/>
  <c r="I254" i="1"/>
  <c r="I258" i="1"/>
  <c r="I274" i="1"/>
  <c r="I278" i="1"/>
  <c r="I282" i="1"/>
  <c r="I286" i="1"/>
  <c r="I319" i="1"/>
  <c r="D47" i="2" s="1"/>
  <c r="H234" i="3"/>
  <c r="L27" i="2" l="1"/>
  <c r="J27" i="2"/>
  <c r="P27" i="2"/>
  <c r="H27" i="2"/>
  <c r="N27" i="2"/>
  <c r="F27" i="2"/>
  <c r="Q27" i="2" s="1"/>
  <c r="N23" i="2"/>
  <c r="F23" i="2"/>
  <c r="L23" i="2"/>
  <c r="J23" i="2"/>
  <c r="P23" i="2"/>
  <c r="H23" i="2"/>
  <c r="L47" i="2"/>
  <c r="J47" i="2"/>
  <c r="P47" i="2"/>
  <c r="H47" i="2"/>
  <c r="N47" i="2"/>
  <c r="F47" i="2"/>
  <c r="L31" i="2"/>
  <c r="J31" i="2"/>
  <c r="P31" i="2"/>
  <c r="H31" i="2"/>
  <c r="N31" i="2"/>
  <c r="F31" i="2"/>
  <c r="N19" i="2"/>
  <c r="F19" i="2"/>
  <c r="L19" i="2"/>
  <c r="J19" i="2"/>
  <c r="P19" i="2"/>
  <c r="H19" i="2"/>
  <c r="N17" i="2"/>
  <c r="F17" i="2"/>
  <c r="L17" i="2"/>
  <c r="J17" i="2"/>
  <c r="P17" i="2"/>
  <c r="H17" i="2"/>
  <c r="Q45" i="2"/>
  <c r="L35" i="2"/>
  <c r="J35" i="2"/>
  <c r="P35" i="2"/>
  <c r="H35" i="2"/>
  <c r="N35" i="2"/>
  <c r="F35" i="2"/>
  <c r="L43" i="2"/>
  <c r="J43" i="2"/>
  <c r="P43" i="2"/>
  <c r="H43" i="2"/>
  <c r="N43" i="2"/>
  <c r="F43" i="2"/>
  <c r="L41" i="2"/>
  <c r="J41" i="2"/>
  <c r="P41" i="2"/>
  <c r="H41" i="2"/>
  <c r="N41" i="2"/>
  <c r="F41" i="2"/>
  <c r="Q49" i="2"/>
  <c r="N15" i="2"/>
  <c r="F15" i="2"/>
  <c r="L15" i="2"/>
  <c r="J15" i="2"/>
  <c r="D52" i="2"/>
  <c r="C27" i="2" s="1"/>
  <c r="P15" i="2"/>
  <c r="H15" i="2"/>
  <c r="L29" i="2"/>
  <c r="J29" i="2"/>
  <c r="P29" i="2"/>
  <c r="H29" i="2"/>
  <c r="N29" i="2"/>
  <c r="F29" i="2"/>
  <c r="N21" i="2"/>
  <c r="F21" i="2"/>
  <c r="L21" i="2"/>
  <c r="J21" i="2"/>
  <c r="P21" i="2"/>
  <c r="H21" i="2"/>
  <c r="L33" i="2"/>
  <c r="J33" i="2"/>
  <c r="P33" i="2"/>
  <c r="H33" i="2"/>
  <c r="N33" i="2"/>
  <c r="F33" i="2"/>
  <c r="L37" i="2"/>
  <c r="J37" i="2"/>
  <c r="P37" i="2"/>
  <c r="H37" i="2"/>
  <c r="N37" i="2"/>
  <c r="F37" i="2"/>
  <c r="I325" i="1"/>
  <c r="Q25" i="2"/>
  <c r="Q39" i="2"/>
  <c r="C29" i="2" l="1"/>
  <c r="F52" i="2"/>
  <c r="E52" i="2" s="1"/>
  <c r="Q15" i="2"/>
  <c r="C41" i="2"/>
  <c r="C17" i="2"/>
  <c r="Q37" i="2"/>
  <c r="C33" i="2"/>
  <c r="C37" i="2"/>
  <c r="C21" i="2"/>
  <c r="Q29" i="2"/>
  <c r="P52" i="2"/>
  <c r="O52" i="2" s="1"/>
  <c r="L52" i="2"/>
  <c r="K52" i="2" s="1"/>
  <c r="Q41" i="2"/>
  <c r="C43" i="2"/>
  <c r="C19" i="2"/>
  <c r="Q31" i="2"/>
  <c r="C47" i="2"/>
  <c r="Q33" i="2"/>
  <c r="Q21" i="2"/>
  <c r="J52" i="2"/>
  <c r="I52" i="2" s="1"/>
  <c r="N52" i="2"/>
  <c r="M52" i="2" s="1"/>
  <c r="Q35" i="2"/>
  <c r="Q19" i="2"/>
  <c r="C49" i="2"/>
  <c r="C45" i="2"/>
  <c r="C39" i="2"/>
  <c r="C25" i="2"/>
  <c r="C31" i="2"/>
  <c r="C23" i="2"/>
  <c r="H52" i="2"/>
  <c r="G52" i="2" s="1"/>
  <c r="C15" i="2"/>
  <c r="C52" i="2" s="1"/>
  <c r="Q43" i="2"/>
  <c r="C35" i="2"/>
  <c r="Q17" i="2"/>
  <c r="Q47" i="2"/>
  <c r="Q23" i="2"/>
  <c r="Q52" i="2" l="1"/>
</calcChain>
</file>

<file path=xl/sharedStrings.xml><?xml version="1.0" encoding="utf-8"?>
<sst xmlns="http://schemas.openxmlformats.org/spreadsheetml/2006/main" count="2098" uniqueCount="791">
  <si>
    <t>PLANILHA DE REFORMA  DA  61ª  CIRETRAN CONFRESA</t>
  </si>
  <si>
    <t>Obra: REFORMA  DA  61ª CIRETRAN CONFRESA</t>
  </si>
  <si>
    <t>Local: CONFRESA/MT</t>
  </si>
  <si>
    <t>SINAPI AGOSTO 2022</t>
  </si>
  <si>
    <t>Data:AGOSTO 2022.</t>
  </si>
  <si>
    <t>BDI 27,63%</t>
  </si>
  <si>
    <t>ITEM</t>
  </si>
  <si>
    <t>CÓDIGO</t>
  </si>
  <si>
    <t>FONTE</t>
  </si>
  <si>
    <t>DESCRIÇÃO</t>
  </si>
  <si>
    <t>UNID</t>
  </si>
  <si>
    <t>QUANT</t>
  </si>
  <si>
    <t>V. UNIT</t>
  </si>
  <si>
    <t>V. TOTAL</t>
  </si>
  <si>
    <t>1.0</t>
  </si>
  <si>
    <t>SERVIÇOS PRELIMINARES</t>
  </si>
  <si>
    <t>SEM BDI</t>
  </si>
  <si>
    <t>COM BDI</t>
  </si>
  <si>
    <t>1.1</t>
  </si>
  <si>
    <t>SINAPI</t>
  </si>
  <si>
    <t>ENGENHEIRO/ARQUITETO TRAINEE/JUNIOR/AUXILIAR 2 HORAS NA OBRA 2 VEZES POR SEMANA</t>
  </si>
  <si>
    <t>h</t>
  </si>
  <si>
    <t>1.2</t>
  </si>
  <si>
    <t>FEITOR OU ENCARREGADO GERAL DE OBRA</t>
  </si>
  <si>
    <t>1.3</t>
  </si>
  <si>
    <t>COMP. DETRAN</t>
  </si>
  <si>
    <t>CO1</t>
  </si>
  <si>
    <t>PLACA DE OBRA EM CHAPA DE ACO GALVANIZADO</t>
  </si>
  <si>
    <t>m²</t>
  </si>
  <si>
    <t>1.4</t>
  </si>
  <si>
    <t>CO2</t>
  </si>
  <si>
    <t>CAÇAMBA BOTA FORA 5,0 M³</t>
  </si>
  <si>
    <t>ud</t>
  </si>
  <si>
    <t>1.5</t>
  </si>
  <si>
    <t>CAMINHÃO TOCO, PBT 16.000 KG, CARGA ÚTIL MÁX. 10.685 KG, DIST. ENTRE EIXOS 4,8 M, POTÊNCIA 189 CV, INCLUSIVE CARROCERIA FIXA ABERTA DE MADEIRA P/ TRANSPORTE GERAL DE CARGA SECA, DIMEN. APROX. 2,5 X 7,00 X 0,50M - CHP DIURNO. AF_06/2014 (FRETE ENTRE B. DO GARÇAS E CONFRESA CONSIDERADO 120 km LEITO NATURAL E 560 km COM PAVIMNETAÇÃO ASFÁLTICA, CONSIDERADO 20 HORAS POR VIAGEM)</t>
  </si>
  <si>
    <t>chp</t>
  </si>
  <si>
    <t>TOTAL DA ETAPA</t>
  </si>
  <si>
    <t>2.0</t>
  </si>
  <si>
    <t>RETIRADAS E DEMOLIÇÕES</t>
  </si>
  <si>
    <t>2.1</t>
  </si>
  <si>
    <t>REMOÇÃO DE TELHAS, DE FIBROCIMENTO, METÁLICA E CERÂMICA, DE FORMA MANUAL, SEM REAPROVEITAMENTO. AF_12/2017</t>
  </si>
  <si>
    <t>2.2</t>
  </si>
  <si>
    <t>REMOÇÃO DE TRAMA DE MADEIRA PARA COBERTURA, DE FORMA MANUAL, SEM REAPROVEITAMENTO. AF_12/2017</t>
  </si>
  <si>
    <t>2.3</t>
  </si>
  <si>
    <t>REMOÇÃO DE FORROS DE DRYWALL, PVC E FIBROMINERAL, DE FORMA MANUAL, SEM REAPROVEITAMENTO. AF_12/2017</t>
  </si>
  <si>
    <t>2.4</t>
  </si>
  <si>
    <t>DEMOLIÇÃO DE REVESTIMENTO CERÂMICO, DE FORMA MANUAL, SEM REAPROVEITAMENTO. AF_12/2017</t>
  </si>
  <si>
    <r>
      <t xml:space="preserve">de acordo com as normas da </t>
    </r>
    <r>
      <rPr>
        <b/>
        <sz val="12"/>
        <color rgb="FF000000"/>
        <rFont val="Arial"/>
        <family val="2"/>
      </rPr>
      <t>ABNT NBR 9050/2020</t>
    </r>
  </si>
  <si>
    <t>2.5</t>
  </si>
  <si>
    <t>REMOÇÃO DE JANELAS, DE FORMA MANUAL, SEM REAPROVEITAMENTO. AF_12/2017</t>
  </si>
  <si>
    <t>2.6</t>
  </si>
  <si>
    <t>REMOÇÃO DE PORTAS, DE FORMA MANUAL, SEM REAPROVEITAMENTO. AF_12/2017</t>
  </si>
  <si>
    <t>2.7</t>
  </si>
  <si>
    <t>DEMOLIÇÃO DE ARGAMASSAS, DE FORMA MANUAL, SEM REAPROVEITAMENTO. AF_12/2017 (REBOCO)</t>
  </si>
  <si>
    <t>3 pardes cozinha</t>
  </si>
  <si>
    <t>2.8</t>
  </si>
  <si>
    <t>REMOÇÃO DE METAIS SANITÁRIOS, DE FORMA MANUAL, SEM REAPROVEITAMENTO. AF_12/2017</t>
  </si>
  <si>
    <t>2.9</t>
  </si>
  <si>
    <t>DEMOLIÇÃO DE ALVENARIA DE BLOCO FURADO, DE FORMA MANUAL, SEM REAPROVEITAMENTO. AF_12/2017</t>
  </si>
  <si>
    <t>m³</t>
  </si>
  <si>
    <t>2.10</t>
  </si>
  <si>
    <t>RETIRADA DE PIA DE COZINHA E ACESSÓRIOS.</t>
  </si>
  <si>
    <t>2.12</t>
  </si>
  <si>
    <t>RETIRADA DE APARELHOS SANITARIOS (LAVATÓRIOS)</t>
  </si>
  <si>
    <t>2.13</t>
  </si>
  <si>
    <t>RETIRADA DE APARELHOS SANITARIOS (VASOS)</t>
  </si>
  <si>
    <t>2.14</t>
  </si>
  <si>
    <t>CO3</t>
  </si>
  <si>
    <t>DEMOLIÇÃO DE CONCRETO SIMPLES</t>
  </si>
  <si>
    <t>CALÇADA EXTERNA E CONTRAPISO</t>
  </si>
  <si>
    <t>3.0</t>
  </si>
  <si>
    <t>MOVIMENTO DE TERRA</t>
  </si>
  <si>
    <t>3.1</t>
  </si>
  <si>
    <t>ESCAVAÇÃO MANUAL DE VALA COM PROFUNDIDADE MENOR OU IGUAL A 1,30 M. AF_03/2016</t>
  </si>
  <si>
    <t>aumentar dml</t>
  </si>
  <si>
    <t>3.2</t>
  </si>
  <si>
    <t>REATERRO MANUAL APILOADO COM SOQUETE. AF_10/2017</t>
  </si>
  <si>
    <t>4.0</t>
  </si>
  <si>
    <t>FUNDAÇÕES</t>
  </si>
  <si>
    <t>4.1</t>
  </si>
  <si>
    <t>CONCRETO MAGRO PARA LASTRO, TRAÇO 1:4,5:4,5 (CIMENTO/ AREIA MÉDIA/ BRITA 1) - PREPARO MECÂNICO COM BETONEIRA 400 L. AF_07/2016</t>
  </si>
  <si>
    <t>4.2</t>
  </si>
  <si>
    <t>CONCRETO FCK = 25MPA, TRAÇO 1:2,3:2,7 (CIMENTO/ AREIA MÉDIA/ BRITA 1)PREPARO MECÂNICO COM BETONEIRA 600 L. AF_07/2016</t>
  </si>
  <si>
    <t>4.3</t>
  </si>
  <si>
    <t>LANÇAMENTO COM USO DE BALDES, ADENSAMENTO E ACABAMENTO DE CONCRETO EM ESTRUTURAS. AF_02/2022</t>
  </si>
  <si>
    <t>4.4</t>
  </si>
  <si>
    <t>FABRICAÇÃO, MONTAGEM E DESMONTAGEM DE FÔRMA PARA VIGA BALDRAME, EM MADEIRA SERRADA, E=25 MM, 4 UTILIZAÇÕES. AF_06/2017</t>
  </si>
  <si>
    <t>viga e pilar da vistoria</t>
  </si>
  <si>
    <t>4.5</t>
  </si>
  <si>
    <t>ARMAÇÃO DE FUNDAÇÕES E ESTRUTURAS DE CONCRETO ARMADO, EXCETO VIGAS, PILARES E LAJES (DE EDIFÍCIOS DE MÚLTIPLOS PAVIMENTOS, EDIFICAÇÃO TÉRREAOU SOBRADO), UTILIZANDO AÇO CA-50 DE 10,0 MM - MONTAGEM. AF_12/2015</t>
  </si>
  <si>
    <t>kg</t>
  </si>
  <si>
    <t>4.6</t>
  </si>
  <si>
    <t>ARMAÇÃO DE FUNDAÇÕES E ESTRUTURAS DE CONCRETO ARMADO, EXCETO VIGAS, PILARES E LAJES (DE EDIFÍCIOS DE MÚLTIPLOS PAVIMENTOS, EDIFICAÇÃO TÉRREAOU SOBRADO), UTILIZANDO AÇO CA-50 DE 6.3 MM - MONTAGEM. AF_12/2015</t>
  </si>
  <si>
    <t>4.7</t>
  </si>
  <si>
    <t>ALVENARIA DE EMBASAMENTO COM BLOCO ESTRUTURAL DE CONCRETO, DE 14X19X29 CM E ARGAMASSA DE ASSENTAMENTO COM PREPARO EM BETONEIRA. AF_05/2020</t>
  </si>
  <si>
    <t>5.0</t>
  </si>
  <si>
    <t>ESTRUTURA</t>
  </si>
  <si>
    <t>5.1</t>
  </si>
  <si>
    <t>5.2</t>
  </si>
  <si>
    <t>5.3</t>
  </si>
  <si>
    <t>MONTAGEM E DESMONTAGEM DE FÔRMA DE PILARES RETANGULARES E ESTRUTURAS SIMILARES, PÉ-DIREITO SIMPLES, EM MADEIRA SERRADA, 2 UTILIZAÇÕES. AF_09/2020</t>
  </si>
  <si>
    <t>5.4</t>
  </si>
  <si>
    <t>ARMAÇÃO DE PILAR OU VIGA DE UMA ESTRUTURA CONVENCIONAL DE CONCRETO ARMADO EM UMA EDIFICAÇÃO TÉRREA OU SOBRADO UTILIZANDO AÇO CA-50 DE 10,0 MM - MONTAGEM. AF_12/2015</t>
  </si>
  <si>
    <t>5.5</t>
  </si>
  <si>
    <t>ARMAÇÃO DE PILAR OU VIGA DE UMA ESTRUTURA CONVENCIONAL DE CONCRETO ARMADO EM UMA EDIFICAÇÃO TÉRREA OU SOBRADO UTILIZANDO AÇO CA-60 DE 5,0 MM - MONTAGEM. AF_12/2015</t>
  </si>
  <si>
    <t>5.6</t>
  </si>
  <si>
    <t>LAJE PRÉ-MOLDADA UNIDIRECIONAL, BIAPOIADA, PARA FORRO, ENCHIMENTO EM CERÂMICA, VIGOTA CONVENCIONAL, ALTURA TOTAL DA LAJE (ENCHIMENTO+CAPA) =(8+3). AF_11/2020</t>
  </si>
  <si>
    <t>6.0</t>
  </si>
  <si>
    <t>ALVENARIA</t>
  </si>
  <si>
    <t>6.1</t>
  </si>
  <si>
    <t>ALVENARIA DE VEDAÇÃO DE BLOCOS CERÂMICOS FURADOS NA HORIZONTAL DE 9X19X19CM (ESPESSURA 9CM) DE PAREDES COM ÁREA LÍQUIDA MAIOR OU IGUAL A 6M² COM VÃOS E ARGAMASSA DE ASSENTAMENTO COM PREPARO EM BETONEIRA. AF_06/2014</t>
  </si>
  <si>
    <t>6.2</t>
  </si>
  <si>
    <t>VERGA PRÉ-MOLDADA PARA JANELAS COM ATÉ 1,5 M DE VÃO. AF_03/2016</t>
  </si>
  <si>
    <t>m</t>
  </si>
  <si>
    <t>6.3</t>
  </si>
  <si>
    <t>CONTRA VERGA PRÉ-MOLDADA PARA JANELAS COM ATÉ 1,5 M DE VÃO. AF_03/2016</t>
  </si>
  <si>
    <t>7.0</t>
  </si>
  <si>
    <t>COBERTURA</t>
  </si>
  <si>
    <t>7.1</t>
  </si>
  <si>
    <t>FABRICAÇÃO E INSTALAÇÃO DE TESOURA INTEIRA EM AÇO, VÃO DE 11 M, PARA TELHA ONDULADA DE FIBROCIMENTO, METÁLICA, PLÁSTICA OU TERMOACÚSTICA, INCLUSO IÇAMENTO. AF_12/2015</t>
  </si>
  <si>
    <t>7.2</t>
  </si>
  <si>
    <t>FABRICAÇÃO E INSTALAÇÃO DE TESOURA INTEIRA EM AÇO, VÃO DE 7 M, PARA TELHA ONDULADA DE FIBROCIMENTO, METÁLICA, PLÁSTICA OU TERMOACÚSTICA, INCLUSO IÇAMENTO. AF_12/2015</t>
  </si>
  <si>
    <t>7.3</t>
  </si>
  <si>
    <t>TELHAMENTO COM TELHA METÁLICA TERMOACÚSTICA E = 30 MM, COM ATÉ 2 ÁGUAS , INCLUSO IÇAMENTO. AF_07/2019</t>
  </si>
  <si>
    <t>7.4</t>
  </si>
  <si>
    <t>CO4</t>
  </si>
  <si>
    <t>ESTRUTURA  DE AÇO PARA COBERTURA EM PERFIL C 100mmx50mmx15mm na # 11 ASSENTADOS COMO TERÇA A CADA 1,20 M (9 linhas de 17,85 DE COMPRIMENTO E 6 LINHAS de 8,90  )</t>
  </si>
  <si>
    <t>7.5</t>
  </si>
  <si>
    <t>CALHA/RUFO/PINGADEIRA EM CHAPA DE ACO GALVANIZADO NUMERO 24, DESENVOLVIMENTO DE 33CM (RUFO)</t>
  </si>
  <si>
    <t>7.6</t>
  </si>
  <si>
    <t>FORRO EM RÉGUAS DE PVC, FRISADO, PARA AMBIENTES COMERCIAIS, INCLUSIVE ESTRUTURA DE FIXAÇÃO. AF_05/2017_P(FIXAR FORRO COM PARAFUSO AUTO BROCANTE)</t>
  </si>
  <si>
    <t>8.0</t>
  </si>
  <si>
    <t>ESQUDRIAS</t>
  </si>
  <si>
    <t>8.1</t>
  </si>
  <si>
    <t>ESQUADRIAS MADEIRA</t>
  </si>
  <si>
    <t>8.1.1</t>
  </si>
  <si>
    <t>KIT DE PORTA DE MADEIRA PARA VERNIZ, SEMI-OCA (LEVE OU MÉDIA), PADRÃO MÉDIO, 90X210CM, ESPESSURA DE 3,5CM, ITENS INCLUSOS: DOBRADIÇAS, MONTAGEM E INSTALAÇÃO DO BATENTE, SEM FECHADURA FORNECIMENTO E INSTALAÇÃO AF_08/2015</t>
  </si>
  <si>
    <t>8.1.2</t>
  </si>
  <si>
    <t>FECHADURA DE EMBUTIR COM CILINDRO, EXTERNA, COMPLETA, ACABAMENTO PADRÃO POPULAR, INCLUSO EXECUÇÃO DE FURO - FORNECIMENTO E INSTALAÇÃO. AF_08/2015</t>
  </si>
  <si>
    <t>8.1.3</t>
  </si>
  <si>
    <t>KIT DE PORTA DE MADEIRA PARA VERNIZ, SEMI-OCA (LEVE OU MÉDIA), PADRÃO MÉDIO, 80X210CM, ESPESSURA DE 3,5CM, ITENS INCLUSOS: DOBRADIÇAS, MONTAGEM E INSTALAÇÃO DO BATENTE, SEM FECHADURA FORNECIMENTO E INSTALAÇÃO AF_08/2015</t>
  </si>
  <si>
    <t>8.1.4</t>
  </si>
  <si>
    <t>KIT DE PORTA DE MADEIRA PARA VERNIZ, SEMI-OCA (LEVE OU MÉDIA), PADRÃO MÉDIO, 70X210CM, ESPESSURA DE 3,5CM, ITENS INCLUSOS: DOBRADIÇAS, MONTAGEM E INSTALAÇÃO DO BATENTE, SEM FECHADURA - FORNECIMENTO E INSTALAÇÃO . AF_12/2019</t>
  </si>
  <si>
    <t>8.2</t>
  </si>
  <si>
    <t>ESQUADRIAS METÁLICAS</t>
  </si>
  <si>
    <t>8.2.1</t>
  </si>
  <si>
    <t>PORTA DE FERRO, DE ABRIR, TIPO GRADE COM CHAPA, COM GUARNIÇÕES. AF_12/2019</t>
  </si>
  <si>
    <t>8.2.2</t>
  </si>
  <si>
    <t>GRADIL EM ALUMÍNIO FIXADO EM VÃOS DE JANELAS, FORMADO POR TUBOS DE 3/4 ". AF_04/2019</t>
  </si>
  <si>
    <t>8.2.3</t>
  </si>
  <si>
    <t>JANELA DE ALUMÍNIO DE CORRER COM 2 FOLHAS PARA VIDROS, COM VIDROS, BATENTE, ACABAMENTO COM ACETATO OU BRILHANTE E FERRAGENS. EXCLUSIVE ALIZAR E CONTRAMARCO. FORNECIMENTO E INSTALAÇÃO. AF_12/2019</t>
  </si>
  <si>
    <t>8.2.4</t>
  </si>
  <si>
    <t>JANELA DE ALUMÍNIO TIPO MAXIM-AR, COM VIDROS, BATENTE E FERRAGENS. EXCLUSIVE ALIZAR, ACABAMENTO E CONTRAMARCO. FORNECIMENTO E INSTALAÇÃO. AF12/2019</t>
  </si>
  <si>
    <t>8.2.5</t>
  </si>
  <si>
    <t>CO5</t>
  </si>
  <si>
    <t>FORNECIMENTO E INSTTALAÇÃO  DE PORTÃO DE FERRO, DE ABRIR, TIPO CHAPA CANALETA, COM GUARNICOES</t>
  </si>
  <si>
    <t>9.0</t>
  </si>
  <si>
    <t>REVESTIMENTO</t>
  </si>
  <si>
    <t>9.1</t>
  </si>
  <si>
    <t>CHAPISCO APLICADO TANTO EM PILARES E VIGAS DE CONCRETO COMO EM ALVENARIAS DE PAREDES INTERNAS, COM COLHER DE PEDREIRO. ARGAMASSA TRAÇO 1:3 COM PREPARO EM BETONEIRA 400L. AF_06/2014</t>
  </si>
  <si>
    <t>9.2</t>
  </si>
  <si>
    <t>87529</t>
  </si>
  <si>
    <t>MASSA ÚNICA, PARA RECEBIMENTO DE PINTURA, EM ARGAMASSA TRAÇO 1:2:8, PREPARO MECÂNICO COM BETONEIRA 400L, APLICADA MANUALMENTE EM FACES INTERNAS DE PAREDES DE AMBIENTES COM ÁREA MENOR QUE 10M2, ESPESSURA DE 20MM , COM EXECUÇÃO DE TALISCAS. AF_06/2014</t>
  </si>
  <si>
    <t>9.3</t>
  </si>
  <si>
    <t>REVESTIMENTO CERÂMICO PARA PAREDES INTERNAS COM PLACAS TIPO ESMALTADA EXTRA DE DIMENSÕES 33X45 CM APLICADAS EM AMBIENTES DE ÁREA MENOR QUE 5M² A MEIA ALTURA DAS PAREDES. AF_06/2014</t>
  </si>
  <si>
    <t>9.4</t>
  </si>
  <si>
    <t>DIVISORIA SANITÁRIA, TIPO CABINE, EM GRANITO CINZA POLIDO, ESP = 3CM, ASSENTADO COM ARGAMASSA COLANTE AC III-E, EXCLUSIVE FERRAGENS. AF_01/2021</t>
  </si>
  <si>
    <t>9.5</t>
  </si>
  <si>
    <t>BANCADA DE GRANITO CINZA POLIDO PARA PIA DE COZINHA 2,00 X 0,60 M - FORNECIMENTO E INSTALAÇÃO. AF_12/2013_P</t>
  </si>
  <si>
    <t>preço sinap 706,60 com 1,5 metros janeiro/2022</t>
  </si>
  <si>
    <t>10.0</t>
  </si>
  <si>
    <t>PISOS E RODAPES</t>
  </si>
  <si>
    <t>10.1</t>
  </si>
  <si>
    <t>REVESTIMENTO CERÂMICO PARA PISO COM PLACAS TIPO ESMALTADA EXTRA DE DIMENSÕES 45X45 CM APLICADA EM AMBIENTES DE ÁREA  ENTRE 5 M² E 10 M². AF_06/2014</t>
  </si>
  <si>
    <t>10.2</t>
  </si>
  <si>
    <t>88649</t>
  </si>
  <si>
    <t>RODAPÉ CERÂMICO DE 7CM DE ALTURA COM PLACAS TIPO GRÊS DE DIMENSÕES 45X45CM. AF_06/201</t>
  </si>
  <si>
    <t>10.3</t>
  </si>
  <si>
    <t>EXECUÇÃO DE PASSEIO (CALÇADA) OU PISO DE CONCRETO COM CONCRETO MOLDADO IN LOCO, FEITO EM OBRA, ACABAMENTO CONVENCIONAL, NÃO ARMADO. AF_07/2016 (CALÇADA FRONTAL À CIRETRAN)</t>
  </si>
  <si>
    <t>10.4</t>
  </si>
  <si>
    <t>SOLEIRA EM GRANITO, LARGURA 15 CM, ESPESSURA 2,0 CM. AF_09/2020</t>
  </si>
  <si>
    <t>10.6</t>
  </si>
  <si>
    <t>PISO PODOTÁTIL, DIRECIONAL OU ALERTA, ASSENTADO SOBRE ARGAMASSA. AF_05/2020</t>
  </si>
  <si>
    <t>11.0</t>
  </si>
  <si>
    <t>VIDROS</t>
  </si>
  <si>
    <t>11.1</t>
  </si>
  <si>
    <t>PORTA DE ABRIR COM MOLA HIDRÁULICA, EM VIDRO TEMPERADO, 90X210 CM, ESPESSURA 10 MM, INCLUSIVE ACESSÓRIOS. AF_01/2021</t>
  </si>
  <si>
    <t>cj</t>
  </si>
  <si>
    <t>11.2</t>
  </si>
  <si>
    <t>INSTALAÇÃO DE VIDRO LISO FUMÊ, E = 6 MM, EM ESQUADRIA DE ALUMÍNIO OU PVC, FIXADO COM BAGUETE. AF_01/2021_P</t>
  </si>
  <si>
    <t>11.3</t>
  </si>
  <si>
    <t>INSTALAÇÃO DE VIDRO TEMPERADO, E = 10 MM, ENCAIXADO EM PERFIL U. AF_01/2021_P</t>
  </si>
  <si>
    <t>ENTRADA</t>
  </si>
  <si>
    <t>12.0</t>
  </si>
  <si>
    <t>PINTURA</t>
  </si>
  <si>
    <t>12.1</t>
  </si>
  <si>
    <t>88431</t>
  </si>
  <si>
    <t>APLICAÇÃO MANUAL DE PINTURA COM TINTA TEXTURIZADA ACRÍLICA EM PAREDES EXTERNAS DE CASAS, DUAS CORES. AF_06/2014</t>
  </si>
  <si>
    <t>12.2</t>
  </si>
  <si>
    <t>REVESTIMENTO TEXTURIZADO (GRAFIATO) EM PAREDE INTERNA OU EXTERNA DE ALTA CAMADA, APLICADO COM DESEMPENADEIRA NOS PILARES DO PORTICO DA FACHADA</t>
  </si>
  <si>
    <t>12.3</t>
  </si>
  <si>
    <t>88489</t>
  </si>
  <si>
    <t>APLICAÇÃO MANUAL DE PINTURA COM TINTA LÁTEX ACRÍLICA EM PAREDES, DUAS DEMÃOS. AF_06/2014</t>
  </si>
  <si>
    <t>12.4</t>
  </si>
  <si>
    <t>88497</t>
  </si>
  <si>
    <t>APLICAÇÃO E LIXAMENTO DE MASSA LÁTEX EM PAREDES, DUAS DEMÃOS. AF_06/2014</t>
  </si>
  <si>
    <t>12.5</t>
  </si>
  <si>
    <t>APLICAÇÃO MASSA ALQUÍDICA PARA MADEIRA, PARA PINTURA COM TINTA DE ACABAMENTO (PIGMENTADA). AF_01/2021</t>
  </si>
  <si>
    <t>12.6</t>
  </si>
  <si>
    <t>PINTURA TINTA DE ACABAMENTO (PIGMENTADA) ESMALTE SINTÉTICO ACETINADO E M MADEIRA, 2 DEMÃOS. AF_01/2021</t>
  </si>
  <si>
    <t>12.7</t>
  </si>
  <si>
    <t>PINTURA COM TINTA ALQUÍDICA DE ACABAMENTO (ESMALTE SINTÉTICO ACETINADO ) APLICADA A ROLO OU PINCEL SOBRE SUPERFÍCIES METÁLICAS (EXCETO PERFIL ) EXECUTADO EM OBRA (POR DEMÃO). AF_01/2020</t>
  </si>
  <si>
    <t>12.8</t>
  </si>
  <si>
    <t>PINTURA DE DEMARCAÇÃO DE VAGA COM TINTA ACRÍLICA, E = 10 CM, APLICAÇÃO MANUAL. AF_05/2021</t>
  </si>
  <si>
    <t>13.0</t>
  </si>
  <si>
    <t>INSTALAÇÕES ELÉTRICAS</t>
  </si>
  <si>
    <t>13.1</t>
  </si>
  <si>
    <t>COMP DETRAN</t>
  </si>
  <si>
    <t>CO6</t>
  </si>
  <si>
    <t>PADRÃO DE ENTRADA T4 35,05KW INCLUSO POSTE 9M – CONFORME EXIGÊNCIA DA CONCESSIONÁRIA DE ENERGIA – FORNECIMENTO E INSTALAÇÃO</t>
  </si>
  <si>
    <t>CJ</t>
  </si>
  <si>
    <t>13.2</t>
  </si>
  <si>
    <t>CABO DE COBRE FLEXÍVEL ISOLADO, 35 MM², ANTI-CHAMA 0,6/1,0 KV, PARA DISTRIBUIÇÃO - FORNECIMENTO E INSTALAÇÃO. AF_12/2015</t>
  </si>
  <si>
    <t>13.3</t>
  </si>
  <si>
    <t>CABO DE COBRE FLEXÍVEL ISOLADO, 25 MM², ANTI-CHAMA 0,6/1,0 KV, PARA DISTRIBUIÇÃO - FORNECIMENTO E INSTALAÇÃO. AF_12/2015</t>
  </si>
  <si>
    <t>13.4</t>
  </si>
  <si>
    <t>CABO DE COBRE FLEXÍVEL ISOLADO, 16 MM², ANTI-CHAMA, 450/750 V, PARA CIRCUITOS TERMINAIS - FORNECIMENTO E INSTALAÇÃO. AF_12/2015</t>
  </si>
  <si>
    <t>13.5</t>
  </si>
  <si>
    <t>CABO DE COBRE FLEXÍVEL ISOLADO, 10 MM², ANTI-CHAMA 450/750 V, PARA DISTRIBUIÇÃO - FORNECIMENTO E INSTALAÇÃO. AF_12/2015</t>
  </si>
  <si>
    <t>13.6</t>
  </si>
  <si>
    <t>CABO DE COBRE FLEXÍVEL ISOLADO, 6 MM², ANTI-CHAMA, 450/750 V, PARA CIRCUITOS TERMINAIS - FORNECIMENTO E INSTALAÇÃO. AF_12/2015</t>
  </si>
  <si>
    <t>13.7</t>
  </si>
  <si>
    <t>CABO DE COBRE FLEXÍVEL ISOLADO, 4 MM², ANTI-CHAMA, 450/750 V, PARA CIRCUITOS TERMINAIS - FORNECIMENTO E INSTALAÇÃO. AF_12/2015</t>
  </si>
  <si>
    <t>13.8</t>
  </si>
  <si>
    <t>CABO DE COBRE FLEXÍVEL ISOLADO, 2,5 MM², ANTI-CHAMA, 450/750 V, PARA CIRCUITOS TERMINAIS - FORNECIMENTO E INSTALAÇÃO. AF_12/2015</t>
  </si>
  <si>
    <t>13.9</t>
  </si>
  <si>
    <t>CABO DE COBRE FLEXÍVEL ISOLADO, 1,5 MM², ANTI-CHAMA, 450/750 V, PARA CIRCUITOS TERMINAIS - FORNECIMENTO E INSTALAÇÃO. AF_12/2015</t>
  </si>
  <si>
    <t>13.10</t>
  </si>
  <si>
    <t>CORDOALHA DE COBRE NU 50 MM², ENTERRADA, SEM ISOLADOR - FORNECIMENTO E INSTALAÇÃO. AF_12/2017</t>
  </si>
  <si>
    <t>13.11</t>
  </si>
  <si>
    <t>RASGO EM CONTRAPISO PARA RAMAIS/ DISTRIBUIÇÃO COM DIÂMETROS MENORES OU IGUAIS A 40 MM. AF_05/2015</t>
  </si>
  <si>
    <t>13.12</t>
  </si>
  <si>
    <t>RASGO EM ALVENARIA PARA ELETRODUTOS COM DIAMETROS MENORES OU IGUAIS A 40 MM. AF_05/2015</t>
  </si>
  <si>
    <t>13.13</t>
  </si>
  <si>
    <t>ELETRODUTO FLEXÍVEL CORRUGADO, PEAD, DN 90 (3") - FORNECIMENTO E INST ALAÇÃO. AF_04/2016</t>
  </si>
  <si>
    <t>13.14</t>
  </si>
  <si>
    <t>ELETRODUTO FLEXÍVEL CORRUGADO, PVC, DN 25 MM (3/4"), PARA CIRCUITOS TERMINAIS, INSTALADO EM PAREDE - FORNECIMENTO E INSTALAÇÃO. AF_12/2015</t>
  </si>
  <si>
    <t>13.15</t>
  </si>
  <si>
    <t>LETRODUTO RÍGIDO ROSCÁVEL, PVC, DN 25 MM (3/4"), PARA CIRCUITOS TERMINAIS, INSTALADO EM PAREDE - FORNECIMENTO E INSTALAÇÃO. AF_12/2015</t>
  </si>
  <si>
    <t>13.16</t>
  </si>
  <si>
    <t>CONDULETE DE ALUMÍNIO, TIPO C, PARA ELETRODUTO DE FERRO GALVANIZADO DN25 MM (3/4''), APARENTE - FORNECIMENTO E INSTALAÇÃO. AF_11/2016_P</t>
  </si>
  <si>
    <t>13.17</t>
  </si>
  <si>
    <t>CO7</t>
  </si>
  <si>
    <t>CAIXA DE SOBREPOR 15X15X10CM COM TAMPA INSTALADO EM PAREDE-FORNECIMENTO E INSTALAÇÃO</t>
  </si>
  <si>
    <t>13.18</t>
  </si>
  <si>
    <t>TOMADA BAIXA DE EMBUTIR (2 MÓDULOS), 2P+T 10 A, INCLUINDO SUPORTE E PLACA - FORNECIMENTO E INSTALAÇÃO. AF_12/2015</t>
  </si>
  <si>
    <t>13.19</t>
  </si>
  <si>
    <t>TOMADA MÉDIA DE EMBUTIR (2 MÓDULOS), 2P+T 10 A, INCLUINDO SUPORTE E PLACA - FORNECIMENTO E INSTALAÇÃO. AF_12/2015</t>
  </si>
  <si>
    <t>13.20</t>
  </si>
  <si>
    <t>TOMADA MÉDIA DE EMBUTIR (2 MÓDULOS), 2P+T 20 A, INCLUINDO SUPORTE E PLACA - FORNECIMENTO E INSTALAÇÃO. AF_12/2015</t>
  </si>
  <si>
    <t>13.21</t>
  </si>
  <si>
    <t>TOMADA ALTA DE EMBUTIR (1 MÓDULO), 2P+T 10 A, INCLUINDO SUPORTE E PLACA - FORNECIMENTO E INSTALAÇÃO. AF_12/2015</t>
  </si>
  <si>
    <t>13.22</t>
  </si>
  <si>
    <t>INTERRUPTOR SIMPLES (1 MÓDULO), 10A/250V, INCLUINDO SUPORTE E PLACA -FORNECIMENTO E INSTALAÇÃO. AF_12/2015</t>
  </si>
  <si>
    <t>13.23</t>
  </si>
  <si>
    <t xml:space="preserve"> INTERRUPTOR PARALELO (2 MÓDULO), 10A/250V, INCLUINDO SUPORTE E PLACA - FORNECIMENTO E INSTALAÇÃO. AF_12/2015</t>
  </si>
  <si>
    <t>13.24</t>
  </si>
  <si>
    <t>INTERRUPTOR SIMPLES (2 MÓDULOS) COM INTERRUPTOR PARALELO (1 MÓDULO), 10A/250V, INCLUINDO SUPORTE E PLACA - FORNECIMENTO E INSTALAÇÃO. AF_12/2015</t>
  </si>
  <si>
    <t>13.25</t>
  </si>
  <si>
    <t>CO8</t>
  </si>
  <si>
    <t>LUMINARIA DE SOBREPOR EM CHAPA DE ACO PARA 2 LAMPADAS LED DE *18* W, PERFIL COMERCIAL (NAO INCLUI REATOR E LAMPADAS)-FORNECIMENTO E INSTALAÇÃO</t>
  </si>
  <si>
    <t>13.26</t>
  </si>
  <si>
    <t>LUMINÁRIA DE EMERGÊNCIA, COM 30 LÂMPADAS LED DE 2 W, SEM REATOR - FORNECIMENTO E INSTALAÇÃO. AF_02/2020</t>
  </si>
  <si>
    <t>13.27</t>
  </si>
  <si>
    <t>LUMINÁRIA TIPO PLAFON CIRCULAR, DE SOBREPOR, COM LED DE 12/13 W - FORNECIMENTO E INSTALAÇÃO. AF_03/2022</t>
  </si>
  <si>
    <t>13.28</t>
  </si>
  <si>
    <t>CO9</t>
  </si>
  <si>
    <t>REFLETOR LED 100W PARA ILUMINAÇÃO EM AMBIENTES EXTERNOS-FORNECIMENTO E INSTALAÇÃO 127/220V</t>
  </si>
  <si>
    <t>13.29</t>
  </si>
  <si>
    <t>CO10</t>
  </si>
  <si>
    <t>REFLETOR LED 50W PARA ILUMINAÇÃO EM AMBIENTES EXTERNOS-FORNECIMENTO E INSTALAÇÃO 127/220V</t>
  </si>
  <si>
    <t>13.30</t>
  </si>
  <si>
    <t>DISJUNTOR TRIPOLAR TIPO NEMA, CORRENTE NOMINAL DE 60 ATÉ 100A - FORNEC IMENTO E INSTALAÇÃO. AF_10/2020</t>
  </si>
  <si>
    <t>13.31</t>
  </si>
  <si>
    <t>CO11</t>
  </si>
  <si>
    <t>DISJUNTOR TRIPOLAR TIPO DIN, CORRENTE NOMINAL DE 63A - FORNECIMENTO E INSTALAÇÃO. AF_10/2020</t>
  </si>
  <si>
    <t>13.32</t>
  </si>
  <si>
    <t>DISJUNTOR TRIPOLAR TIPO DIN, CORRENTE NOMINAL DE 50A - FORNECIMENTO EINSTALAÇÃO. AF_10/2020</t>
  </si>
  <si>
    <t>13.33</t>
  </si>
  <si>
    <t>DISJUNTOR MONOPOLAR TIPO DIN, CORRENTE NOMINAL DE 10A - FORNECIMENTO E INSTALAÇÃO. AF_10/2020</t>
  </si>
  <si>
    <t>13.34</t>
  </si>
  <si>
    <t>DISJUNTOR MONOPOLAR TIPO DIN, CORRENTE NOMINAL DE 16A - FORNECIMENTO E INSTALAÇÃO. AF_10/2020</t>
  </si>
  <si>
    <t>13.35</t>
  </si>
  <si>
    <t>DISJUNTOR MONOPOLAR TIPO DIN, CORRENTE NOMINAL DE 20A - FORNECIMENTO E INSTALAÇÃO. AF_10/2020</t>
  </si>
  <si>
    <t>13.36</t>
  </si>
  <si>
    <t>DISJUNTOR BIPOLAR TIPO DIN, CORRENTE NOMINAL DE 16A - FORNECIMENTO E INSTALAÇÃO. AF_10/2020</t>
  </si>
  <si>
    <t>13.37</t>
  </si>
  <si>
    <t>DISJUNTOR BIPOLAR TIPO DIN, CORRENTE NOMINAL DE 20A - FORNECIMENTO E INSTALAÇÃO. AF_10/2020</t>
  </si>
  <si>
    <t>13.38</t>
  </si>
  <si>
    <t>DISJUNTOR BIPOLAR TIPO DIN, CORRENTE NOMINAL DE 25A - FORNECIMENTO E INSTALAÇÃO. AF_10/2020</t>
  </si>
  <si>
    <t>13.39</t>
  </si>
  <si>
    <t>DISJUNTOR BIPOLAR TIPO DIN, CORRENTE NOMINAL DE 32A - FORNECIMENTO E INSTALAÇÃO. AF_10/2020</t>
  </si>
  <si>
    <t>13.40</t>
  </si>
  <si>
    <t>CO12</t>
  </si>
  <si>
    <t>DISPOSITIVO DR, 2 POLOS, SENSIBILIDADE DE 30 MA, CORRENTE DE 25 A, TIPO AC - FORNECIMENTO E INSTALAÇÃO. AF_10/2020</t>
  </si>
  <si>
    <t>13.41</t>
  </si>
  <si>
    <t>CO13</t>
  </si>
  <si>
    <t>DISPOSITIVO DPS CLASSE II, 1 POLO, TENSAO MAXIMA DE 175 V, CORRENTE MAXIMA DE *45* KA (TIPO AC) - FORNECIMENTO E INSTALAÇÃO</t>
  </si>
  <si>
    <t>13.42</t>
  </si>
  <si>
    <t>HASTE DE ATERRAMENTO 5/8 PARA SPDA - FORNECIMENTO E INSTALAÇÃO. AF_12/2017</t>
  </si>
  <si>
    <t>13.43</t>
  </si>
  <si>
    <t>CO14</t>
  </si>
  <si>
    <t>CONECTOR METALICO TIPO PARAFUSO FENDIDO (SPLIT BOLT), PARA CABOS ATE 50 MM2 - FORNECIMENTO E INSTALAÇÃO</t>
  </si>
  <si>
    <t>13.44</t>
  </si>
  <si>
    <t>CO15</t>
  </si>
  <si>
    <t>TERMINAL A COMPRESSAO EM COBRE ESTANHADO PARA CABO 35 MM2, 1 FURO E 1 COMPRESSAO, PARA PARAFUSO DE FIXACAO M8 - FORNECIMENTO E INSTALAÇÃO</t>
  </si>
  <si>
    <t>13.45</t>
  </si>
  <si>
    <t>CO16</t>
  </si>
  <si>
    <t>TERMINAL A COMPRESSAO EM COBRE ESTANHADO PARA CABO 16 MM2, 1 FURO E 1 COMPRESSAO, PARA PARAFUSO DE FIXACAO M6 - FORNECIMENTO E INSTALAÇÃO</t>
  </si>
  <si>
    <t>13.46</t>
  </si>
  <si>
    <t>CO17</t>
  </si>
  <si>
    <t>TERMINAL A COMPRESSAO EM COBRE ESTANHADO PARA CABO 4 MM2, 1 FURO E 1 COMPRESSAO, PARA PARAFUSO DE FIXACAO M5 - FORNECIMENTO E INSTALAÇÃO</t>
  </si>
  <si>
    <t>13.47</t>
  </si>
  <si>
    <t>CAIXA ENTERRADA ELÉTRICA RETANGULAR, EM CONCRETO PRÉ-MOLDADO, FUNDO COM BRITA, DIMENSÕES INTERNAS: 0,6X0,6X0,5 M. AF_12/2020</t>
  </si>
  <si>
    <t>13.48</t>
  </si>
  <si>
    <t>QUADRO DE DISTRIBUIÇÃO DE ENERGIA EM CHAPA DE AÇO GALVANIZADO, DE EMBU TIR, COM BARRAMENTO TRIFÁSICO, PARA 40 DISJUNTORES DIN 100A - FORNECIMENTO E INSTALAÇÃO. AF_10/2020</t>
  </si>
  <si>
    <t>13.49</t>
  </si>
  <si>
    <t>QUADRO DE DISTRIBUIÇÃO DE ENERGIA EM CHAPA DE AÇO GALVANIZADO, DE EMBUTIR, COM BARRAMENTO TRIFÁSICO, PARA 30 DISJUNTORES DIN 150A - FORNECIMENTO E INSTALAÇÃO. AF_10/2020</t>
  </si>
  <si>
    <t>13.50</t>
  </si>
  <si>
    <t>QUADRO DE DISTRIBUIÇÃO DE ENERGIA EM CHAPA DE AÇO GALVANIZADO, DE EMBUIR, COM BARRAMENTO TRIFÁSICO, PARA 24 DISJUNTORES DIN 100A - FORNECIMENTO E INSTALAÇÃO. AF_10/2020</t>
  </si>
  <si>
    <t>13.51</t>
  </si>
  <si>
    <t>CAIXA RETANGULAR 4" X 2" BAIXA (0,30 M DO PISO), PVC, INSTALADA EM PAREDE - FORNECIMENTO E INSTALAÇÃO. AF_12/2015</t>
  </si>
  <si>
    <t>13.52</t>
  </si>
  <si>
    <t>CAIXA RETANGULAR 4" X 2" MÉDIA (1,30 M DO PISO), PVC, INSTALADA EM PAREDE - FORNECIMENTO E INSTALAÇÃO. AF_12/2015</t>
  </si>
  <si>
    <t>13.53</t>
  </si>
  <si>
    <t>CAIXA RETANGULAR 4" X 2" ALTA (2,00 M DO PISO), PVC, INSTALADA EM PAREDE - FORNECIMENTO E INSTALAÇÃO. AF_12/2015</t>
  </si>
  <si>
    <t>13.54</t>
  </si>
  <si>
    <t>CAIXA RETANGULAR 4" X 4" BAIXA (0,30 M DO PISO), PVC, INSTALADA EM PAREDE - FORNECIMENTO E INSTALAÇÃO. AF_12/2015</t>
  </si>
  <si>
    <t>13.55</t>
  </si>
  <si>
    <t>CAIXA OCTOGONAL 4" X 4", PVC, INSTALADA EM LAJE - FORNECIMENTO E INSTALAÇÃO. AF_12/2015</t>
  </si>
  <si>
    <t>ug</t>
  </si>
  <si>
    <t>13.56</t>
  </si>
  <si>
    <t>RELÉ FOTOELÉTRICO PARA COMANDO DE ILUMINAÇÃO EXTERNA 1000 W - FORNECIMENTO E INSTALAÇÃO. AF_08/2020</t>
  </si>
  <si>
    <t>13.57</t>
  </si>
  <si>
    <t>REMOÇÃO DE INTERRUPTORES/TOMADAS ELÉTRICAS, DE FORMA MANUAL, SEM REAPROVEITAMENTO. AF_12/2017</t>
  </si>
  <si>
    <t xml:space="preserve"> </t>
  </si>
  <si>
    <t>13.58</t>
  </si>
  <si>
    <t>REMOÇÃO DE CABOS ELÉTRICOS, DE FORMA MANUAL, SEM REAPROVEITAMENTO. AF12/2017</t>
  </si>
  <si>
    <t>13.59</t>
  </si>
  <si>
    <t>REMOÇÃO DE LUMINÁRIAS, DE FORMA MANUAL, SEM REAPROVEITAMENTO. AF_12/2017</t>
  </si>
  <si>
    <t>13.60</t>
  </si>
  <si>
    <t xml:space="preserve"> ELETRODUTO FLEXÍVEL CORRUGADO REFORÇADO, PVC, DN 25 MM (3/4"), PARA CIRCUITOS TERMINAIS, INSTALADO EM FORRO - FORNECIMENTO E INSTALAÇÃO. AF12/2015</t>
  </si>
  <si>
    <t>13.61</t>
  </si>
  <si>
    <t>PONTO DE TOMADA RESIDENCIAL INCLUINDO TOMADA 10A/250V, CAIXA ELÉTRICA,ELETRODUTO, CABO, RASGO, QUEBRA E CHUMBAMENTO. AF_01/2016</t>
  </si>
  <si>
    <t>13.62</t>
  </si>
  <si>
    <t>CURVA 90 GRAUS, PVC, SOLDÁVEL, DN 25MM, INSTALADO EM PRUMADA DE ÁGUA (AR CONDICIONADO)</t>
  </si>
  <si>
    <t>13.63</t>
  </si>
  <si>
    <t>CURVA 45 GRAUS, PVC, SOLDÁVEL, DN 25MM, INSTALADO EM PRUMADA DE ÁGUA FORNECIMENTO E INSTALAÇÃO. AF_12/2014 (AR CONDICIONADO)</t>
  </si>
  <si>
    <t>13.64</t>
  </si>
  <si>
    <t>CONCRETO FCK = 25MPA, TRAÇO 1:2,3:2,7 (CIMENTO/ AREIA MÉDIA/ BRITA 1)PREPARO MECÂNICO COM BETONEIRA 600 L. AF_07/2016 (BASE AR CONDICIONADO)</t>
  </si>
  <si>
    <t>14.0</t>
  </si>
  <si>
    <t>INSTALAÇÃOES DE LÓGICA/TELEFONIA</t>
  </si>
  <si>
    <t>14.1</t>
  </si>
  <si>
    <t>CO18</t>
  </si>
  <si>
    <t>14.2</t>
  </si>
  <si>
    <t>14.3</t>
  </si>
  <si>
    <t>14.4</t>
  </si>
  <si>
    <t>14.5</t>
  </si>
  <si>
    <t>14.6</t>
  </si>
  <si>
    <t>CONDULETE DE ALUMÍNIO, TIPO C, PARA ELETRODUTO DE FERRO GALVANIZADO DN25 MM (1''), APARENTE - FORNECIMENTO E INSTALAÇÃO. AF_11/2016_P</t>
  </si>
  <si>
    <t>14.7</t>
  </si>
  <si>
    <t>14.8</t>
  </si>
  <si>
    <t>14.9</t>
  </si>
  <si>
    <t>14.10</t>
  </si>
  <si>
    <t>14.11</t>
  </si>
  <si>
    <t>14.12</t>
  </si>
  <si>
    <t>TOMADA DE REDE RJ45 - FORNECIMENTO E INSTALAÇÃO. AF_11/2019</t>
  </si>
  <si>
    <t>14.13</t>
  </si>
  <si>
    <t>TOMADA PARA TELEFONE RJ11 - FORNECIMENTO E INSTALAÇÃO. AF_11/2019</t>
  </si>
  <si>
    <t>14.14</t>
  </si>
  <si>
    <t>CABO ELETRÔNICO CATEGORIA 5E, INSTALADO EM EDIFICAÇÃO INSTITUCIONAL - FORNECIMENTO E INSTALAÇÃO. AF_11/2019</t>
  </si>
  <si>
    <t>14.15</t>
  </si>
  <si>
    <t>PATCH PANEL 24 PORTAS, CATEGORIA 5E - FORNECIMENTO E INSTALAÇÃO. AF_11/2019</t>
  </si>
  <si>
    <t>14.16</t>
  </si>
  <si>
    <t>CO19</t>
  </si>
  <si>
    <t>RACK FECHADO 12Ux19"x450mm, PORTA EM ACRÍLICO, SEGUNDO PLANO DE RECUO - FORNECIMENTO E INSTALAÇÃO</t>
  </si>
  <si>
    <t>14.17</t>
  </si>
  <si>
    <t>CO20</t>
  </si>
  <si>
    <t>ORGANIZADOR DE CABOS HORIZONTAL COM TAMPA FRONTAL REMOVÍVEL 19" X 1U -FORNECIMENTO E INSTALAÇÃO</t>
  </si>
  <si>
    <t>14.18</t>
  </si>
  <si>
    <t>CO21</t>
  </si>
  <si>
    <t>BANDEJA DUPLA FIXAÇÃO COM COMPRIMENTO DE  600mm PARA RACK 19" - FORNECIMENTO E INSTALAÇÃO</t>
  </si>
  <si>
    <t>14.19</t>
  </si>
  <si>
    <t>CO22</t>
  </si>
  <si>
    <t xml:space="preserve"> PATCH CORD CORD 45 CAT 5E COM  1,50M - FORNECIMENTO E INSTALAÇÃO</t>
  </si>
  <si>
    <t>14.20</t>
  </si>
  <si>
    <t>CO23</t>
  </si>
  <si>
    <t xml:space="preserve"> PATCH CORD CORD 45 CAT 5E COM  2,50M - FORNECIMENTO E INSTALAÇÃO</t>
  </si>
  <si>
    <t>14.21</t>
  </si>
  <si>
    <t>CO24</t>
  </si>
  <si>
    <t>CONECTORES RJ45, 8 VIAS MACHO - FORNECIMENTO E INSTALAÇÃO</t>
  </si>
  <si>
    <t>14.22</t>
  </si>
  <si>
    <t>14.23</t>
  </si>
  <si>
    <t>ELETRODUTO FLEXÍVEL CORRUGADO REFORÇADO, PVC, DN 32 MM (1"), PARA CIRCUITOS TERMINAIS, INSTALADO EM PAREDE - FORNECIMENTO E INSTALAÇÃO. AF_12/2015</t>
  </si>
  <si>
    <t>14.24</t>
  </si>
  <si>
    <t>LUVA PARA ELETRODUTO, PVC, ROSCÁVEL, DN 25 MM (3/4"), PARA CIRCUITOS TERMINAIS, INSTALADA EM PAREDE - FORNECIMENTO E INSTALAÇÃO. AF_12/2015</t>
  </si>
  <si>
    <t>14.25</t>
  </si>
  <si>
    <t>CO25</t>
  </si>
  <si>
    <t>ELETROCALHA PERFURADA GALVANIZADA DE 100 X 50 X 3000mm - FORNECIMENTO E INSTALAÇÃO</t>
  </si>
  <si>
    <t>14.26</t>
  </si>
  <si>
    <t>SUPORTE PARA ELETROCALHA LISA OU PERFURADA EM AÇO GALVANIZADO, LARGURA 500 OU 800 MM E ALTURA 50 MM, ESPAÇADO A CADA 1,5 M, EM PERFILADO DE SEÇÃO 38X76 MM, POR METRO DE ELETROCALHA FIXADA. AF_07/2017</t>
  </si>
  <si>
    <t>14.27</t>
  </si>
  <si>
    <t>CO26</t>
  </si>
  <si>
    <t>ELETRODUTO FLEXIVEL, EM ACO GALVANIZADO, REVESTIDO EXTERNAMENTE COM PVC  PRETO, DIAMETRO EXTERNO DE 32 MM (1"), TIPO SEALTUBO - FORNECIMENTO E INSTALAÇÃO</t>
  </si>
  <si>
    <t>15.0</t>
  </si>
  <si>
    <t>INSTALAÇÃO HIDRÁULICA E SANITÁRIA</t>
  </si>
  <si>
    <t>15.1</t>
  </si>
  <si>
    <t xml:space="preserve">INSTALAÇÃO HIDRÁULICA  </t>
  </si>
  <si>
    <t>15.1.1</t>
  </si>
  <si>
    <t>15.1.2</t>
  </si>
  <si>
    <t>86903</t>
  </si>
  <si>
    <t>LAVATÓRIO LOUÇA BRANCA COM COLUNA, 45 X 55CM OU EQUIVALENTE, PADRÃO MÉDIO - FORNECIMENTO E INSTALAÇÃO. AF_12/2013_P</t>
  </si>
  <si>
    <t>15.1.3</t>
  </si>
  <si>
    <t>CO27</t>
  </si>
  <si>
    <t>LAVATORIO DE CANTO DE LOUCA BRANCA, SUSPENSO (SEM COLUNA), DIMENSOES *40 X 30* CM (L X C)</t>
  </si>
  <si>
    <t>15.1.4</t>
  </si>
  <si>
    <t>TORNEIRA CROMADA DE MESA, 1/2" OU 3/4", PARA LAVATÓRIO, PADRAO POPULAR, FORNECIMENTO E INSTALAÇÃO. AF_12/2013</t>
  </si>
  <si>
    <t>15.1.5</t>
  </si>
  <si>
    <t>TORNEIRA CROMADA TUBO MÓVEL, DE MESA, 1/2" OU 3/4", PARA PIA DE COZINHA, PADRÃO ALTO - FORNECIMENTO E INSTALAÇÃO. AF_12/2013</t>
  </si>
  <si>
    <t>15.1.6</t>
  </si>
  <si>
    <t>CUBA DE EMBUTIR RETANGULAR DE AÇO INOXIDÁVEL, 46 X 30 X 12 CM - FORNEC IMENTO E INSTALAÇÃO. AF_01/2020</t>
  </si>
  <si>
    <t>15.1.7</t>
  </si>
  <si>
    <t>TORNEIRA CROMADA 1/2" OU 3/4" PARA TANQUE, PADRÃO MÉDIO - FORNECIMENTO E INSTALAÇÃO. AF_12/2013 USO GERAL</t>
  </si>
  <si>
    <t>15.1.8</t>
  </si>
  <si>
    <t>VÁLVULA DE DESCARGA METÁLICA, BASE 1 1/2 ", ACABAMENTO METALICO CROMADO - FORNECIMENTO E INSTALAÇÃO. AF_01/2019</t>
  </si>
  <si>
    <t>15.1.9</t>
  </si>
  <si>
    <t>ADAPTADOR CURTO COM BOLSA E ROSCA PARA REGISTRO, PVC, SOLDÁVEL, DN 50M M X 1.1/2, INSTALADO EM PRUMADA DE ÁGUA - FORNECIMENTO E INSTALAÇÃO.AF_12/2014</t>
  </si>
  <si>
    <t>15.1.10</t>
  </si>
  <si>
    <t>BUCHA DE REDUÇÃO, PPR, 32 X 25, CLASSE PN 25, INSTALADO EM RAMAL DE DISTRIBUIÇÃO DE ÁGUA FORNECIMENTO E INSTALAÇÃO . AF_06/2015</t>
  </si>
  <si>
    <t>15.1.11</t>
  </si>
  <si>
    <t>BUCHA DE REDUÇÃO, PVC, SOLDÁVEL, DN 40MM X 32MM, INSTALADO EM RAMAL OU SUB-RAMAL DE ÁGUA - FORNECIMENTO E INSTALAÇÃO. AF_03/2015</t>
  </si>
  <si>
    <t>15.1.12</t>
  </si>
  <si>
    <t>JOELHO 45 GRAUS, PVC, SOLDÁVEL, DN 25MM, INSTALADO EM RAMAL OU SUB-RAMAL DE ÁGUA - FORNECIMENTO E INSTALAÇÃO. AF_12/2014</t>
  </si>
  <si>
    <t>15.1.13</t>
  </si>
  <si>
    <t>JOELHO 45 GRAUS, PVC, SOLDÁVEL, DN 32MM, INSTALADO EM RAMAL DE DISTRIBUIÇÃO DE ÁGUA - FORNECIMENTO E INSTALAÇÃO. AF_12/2014</t>
  </si>
  <si>
    <t>15.1.14</t>
  </si>
  <si>
    <t>JOELHO 45 GRAUS, PVC, SOLDÁVEL, DN 50MM, INSTALADO EM PRUMADA DE ÁGUA  - FORNECIMENTO E INSTALAÇÃO. AF_12/2014</t>
  </si>
  <si>
    <t>15.1.15</t>
  </si>
  <si>
    <t>15.1.16</t>
  </si>
  <si>
    <t>JOELHO 90 GRAUS, PVC, SOLDÁVEL, DN 32MM, INSTALADO EM RAMAL DE DISTRIBUIÇÃO DE ÁGUA - FORNECIMENTO E INSTALAÇÃO. AF_12/2014</t>
  </si>
  <si>
    <t>15.1.17</t>
  </si>
  <si>
    <t>JOELHO 90 GRAUS, PVC, SOLDÁVEL, DN 50MM, INSTALADO EM PRUMADA DE ÁGUA - FORNECIMENTO E INSTALAÇÃO. AF_12/2014</t>
  </si>
  <si>
    <t>15.1.18</t>
  </si>
  <si>
    <t>JOELHO 90 GRAUS COM BUCHA DE LATÃO, PVC, SOLDÁVEL, DN 25 MM, X 3/4 INSTALADO EM RESERVAÇÃO DE ÁGUA DE EDIFICAÇÃO QUE POSSUA RESERVATÓRIO DE FIBRA/FIBROCIMENTO FORNECIMENTO E INSTALAÇÃO. AF_06/2016</t>
  </si>
  <si>
    <t>15.1.19</t>
  </si>
  <si>
    <t>LUVA COM BUCHA DE LATÃO, PVC, SOLDÁVEL, DN 25MM X 1/2, INSTALADO EM R AMAL DE DISTRIBUIÇÃO DE ÁGUA - FORNECIMENTO E INSTALAÇÃO. AF_12/2014</t>
  </si>
  <si>
    <t>15.1.20</t>
  </si>
  <si>
    <t>TÊ DE REDUÇÃO, PVC, SOLDÁVEL, DN 50MM X 25MM, INSTALADO EM PRUMADA DE ÁGUA - FORNECIMENTO E INSTALAÇÃO. AF_12/2014</t>
  </si>
  <si>
    <t>15.1.21</t>
  </si>
  <si>
    <t>TÊ, PVC, SOLDÁVEL, DN 60 MM INSTALADO EM RESERVAÇÃO DE ÁGUA DE EDIFICAÇÃO QUE POSSUA RESERVATÓRIO DE FIBRA/FIBROCIMENTO FORNECIMENTO E INSTALAÇÃO. AF_06/2016</t>
  </si>
  <si>
    <t>15.1.22</t>
  </si>
  <si>
    <t>LUVA DE REDUÇÃO, PVC, SOLDÁVEL, DN 60MM X 50MM, INSTALADO EM PRUMADA DE ÁGUA - FORNECIMENTO E INSTALAÇÃO. AF_12/2014</t>
  </si>
  <si>
    <t>15.1.23</t>
  </si>
  <si>
    <t>LUVA DE REDUÇÃO, PVC, SOLDÁVEL, DN 50MM X 25MM, INSTALADO EM PRUMADA DE ÁGUA FORNECIMENTO E INSTALAÇÃO. AF_12/2014</t>
  </si>
  <si>
    <t>15.1.24</t>
  </si>
  <si>
    <t>TÊ, PVC, SOLDÁVEL, DN 32 MM INSTALADO EM RESERVAÇÃO DE ÁGUA DE EDIFICAÇÃO QUE POSSUA RESERVATÓRIO DE FIBRA/FIBROCIMENTO FORNECIMENTO E INSTALAÇÃO. AF_06/2016</t>
  </si>
  <si>
    <t>15.1.25</t>
  </si>
  <si>
    <t>TÊ, PVC, SOLDÁVEL, DN 25 MM INSTALADO EM RESERVAÇÃO DE ÁGUA DE EDIFICAÇÃO QUE POSSUA RESERVATÓRIO DE FIBRA/FIBROCIMENTO FORNECIMENTO E INSTALAÇÃO. AF_06/2016</t>
  </si>
  <si>
    <t>15.1.26</t>
  </si>
  <si>
    <t>TÊ DE REDUÇÃO, PVC, SOLDÁVEL, DN 50MM X 40MM, INSTALADO EM PRUMADA DE ÁGUA - FORNECIMENTO E INSTALAÇÃO. AF_12/2014</t>
  </si>
  <si>
    <t>15.1.27</t>
  </si>
  <si>
    <t>REGISTRO DE PRESSÃO BRUTO, LATÃO, ROSCÁVEL, 1/2", COM ACABAMENTO E CANOPLA CROMADOS - FORNECIMENTO E INSTALAÇÃO. AF_08/2021</t>
  </si>
  <si>
    <t>15.1.28</t>
  </si>
  <si>
    <t>ADAPTADOR COM FLANGE E ANEL DE VEDAÇÃO, PVC, SOLDÁVEL, DN 25 MM X 3/4 , INSTALADO EM RESERVAÇÃO DE ÁGUA DE EDIFICAÇÃO QUE POSSUA RESERVATÓRIO DE FIBRA/FIBROCIMENTO FORNECIMENTO E INSTALAÇÃO. AF_06/2016</t>
  </si>
  <si>
    <t>15.1.29</t>
  </si>
  <si>
    <t>ADAPTADOR COM FLANGE E ANEL DE VEDAÇÃO, PVC, SOLDÁVEL, DN 60 MM X 2 , INSTALADO EM RESERVAÇÃO DE ÁGUA DE EDIFICAÇÃO QUE POSSUA RESERVATÓRIO DE FIBRA/FIBROCIMENTO FORNECIMENTO E INSTALAÇÃO. AF_06/2016</t>
  </si>
  <si>
    <t>15.1.30</t>
  </si>
  <si>
    <t>ADAPTADOR COM FLANGE E ANEL DE VEDAÇÃO, PVC, SOLDÁVEL, DN 32 MM X 1 ,INSTALADO EM RESERVAÇÃO DE ÁGUA DE EDIFICAÇÃO QUE POSSUA RESERVATÓRIO DE FIBRA/FIBROCIMENTO FORNECIMENTO E INSTALAÇÃO. AF_06/2016</t>
  </si>
  <si>
    <t>15.1.31</t>
  </si>
  <si>
    <t>REGISTRO DE GAVETA BRUTO, LATÃO, ROSCÁVEL, 3/4", COM ACABAMENTO E CANOPLA CROMADOS - FORNECIMENTO E INSTALAÇÃO. AF_08/2021</t>
  </si>
  <si>
    <t>15.1.32</t>
  </si>
  <si>
    <t>89356</t>
  </si>
  <si>
    <t>TUBO, PVC, SOLDÁVEL, DN 25MM, INSTALADO EM RAMAL OU SUB-RAMAL DE ÁGUA FORNECIMENTO E INSTALAÇÃO . AF_12/2014_P</t>
  </si>
  <si>
    <t>15.1.33</t>
  </si>
  <si>
    <t>TUBO, PVC, SOLDÁVEL, DN 32MM, INSTALADO EM RAMAL OU SUB-RAMAL DE ÁGUA - FORNECIMENTO E INSTALAÇÃO. AF_12/2014</t>
  </si>
  <si>
    <t>15.1.34</t>
  </si>
  <si>
    <t>TUBO, PVC, SOLDÁVEL, DN 50MM, INSTALADO EM PRUMADA DE ÁGUA - FORNECIMENTO E INSTALAÇÃO. AF_12/2014</t>
  </si>
  <si>
    <t>15.1.35</t>
  </si>
  <si>
    <t>TUBO, PVC, SOLDÁVEL, DN 60MM, INSTALADO EM PRUMADA DE ÁGUA - FORNECIMENTO E INSTALAÇÃO. AF_12/2014</t>
  </si>
  <si>
    <t>15.1.36</t>
  </si>
  <si>
    <t>TORNEIRA DE BOIA PARA CAIXA D'ÁGUA, ROSCÁVEL, 1/2" - FORNECIMENTO E INSTALAÇÃO. AF_08/2021</t>
  </si>
  <si>
    <t>15.1.37</t>
  </si>
  <si>
    <t>CAIXA D´ÁGUA EM POLIETILENO, 1000 LITROS, COM ACESSÓRIOS</t>
  </si>
  <si>
    <t>SANITÁRIA</t>
  </si>
  <si>
    <t>15.2.1</t>
  </si>
  <si>
    <t>PAPELEIRA DE PAREDE EM METAL CROMADO SEM TAMPA, INCLUSO FIXAÇÃO. AF_01/2020</t>
  </si>
  <si>
    <t>15.2.2</t>
  </si>
  <si>
    <t>SABONETEIRA DE PAREDE EM METAL CROMADO, INCLUSO FIXAÇÃO. AF_01/2020</t>
  </si>
  <si>
    <t>15.2.3</t>
  </si>
  <si>
    <t>CAIXA ENTERRADA HIDRÁULICA RETANGULAR EM ALVENARIA COM TIJOLOS CERÂMICOS MACIÇOS, DIMENSÕES INTERNAS: 0,6X0,6X0,6 M PARA REDE DE DRENAGEM. AF_12/2020</t>
  </si>
  <si>
    <t>15.2.4</t>
  </si>
  <si>
    <t>VASO SANITARIO SIFONADO CONVENCIONAL COM LOUÇA BRANCA - FORNECIMENTO E INSTALAÇÃO. AF_10/2016</t>
  </si>
  <si>
    <t>15.2.5</t>
  </si>
  <si>
    <t xml:space="preserve">ASSENTO SANITÁRIO CONVENCIONAL - FORNECIMENTO E INSTALACAO. AF_01/2020 </t>
  </si>
  <si>
    <t>15.2.6</t>
  </si>
  <si>
    <t>VASO SANITARIO SIFONADO CONVENCIONAL PARA PCD SEM FURO FRONTAL COM LOUÇA BRANCA SEM ASSENTO, INCLUSO CONJUNTO DE LIGAÇÃO PARA BACIA SANITÁRIA AJUSTÁVEL - FORNECIMENTO E INSTALAÇÃO. AF_01/2020</t>
  </si>
  <si>
    <t>15.2.7</t>
  </si>
  <si>
    <t>89707</t>
  </si>
  <si>
    <t>CAIXA SIFONADA, PVC, DN 100 X 100 X 50 MM, JUNTA ELÁSTICA, FORNECIDA E INSTALADA EM RAMAL DE DESCARGA OU EM RAMAL DE ESGOTO SANITÁRIO. AF_12/2014_P</t>
  </si>
  <si>
    <t>15.2.8</t>
  </si>
  <si>
    <t>89714</t>
  </si>
  <si>
    <t>TUBO PVC, SERIE NORMAL, ESGOTO PREDIAL, DN 100 MM, FORNECIDO E INSTALADO EM RAMAL DE DESCARGA OU RAMAL DE ESGOTO SANITÁRIO. AF_12/2014_P</t>
  </si>
  <si>
    <t>15.2.9</t>
  </si>
  <si>
    <t>89711</t>
  </si>
  <si>
    <t>TUBO PVC, SERIE NORMAL, ESGOTO PREDIAL, DN 40 MM, FORNECIDO E INSTALADO EM RAMAL DE DESCARGA OU RAMAL DE ESGOTO SANITÁRIO. AF_12/2014_P</t>
  </si>
  <si>
    <t>15.2.10</t>
  </si>
  <si>
    <t>TUBO PVC, SERIE NORMAL, ESGOTO PREDIAL, DN 50 MM, FORNECIDO E INSTALADO EM RAMAL DE DESCARGA OU RAMAL DE ESGOTO SANITÁRIO. AF_12/2014</t>
  </si>
  <si>
    <t>15.2.11</t>
  </si>
  <si>
    <t>89809</t>
  </si>
  <si>
    <t>JOELHO 90 GRAUS, PVC, SERIE NORMAL, ESGOTO PREDIAL, DN 100 MM, JUNTA ELÁSTICA, FORNECIDO E INSTALADO EM PRUMADA DE ESGOTO SANITÁRIO OU VENTILAÇÃO. AF_12/2014</t>
  </si>
  <si>
    <t>15.2.12</t>
  </si>
  <si>
    <t>JOELHO 90 GRAUS, PVC, SERIE NORMAL, ESGOTO PREDIAL, DN 40 MM, JUNTA SOLDÁVEL, FORNECIDO E INSTALADO EM RAMAL DE DESCARGA OU RAMAL DE ESGOTO SANITÁRIO. AF_12/2014</t>
  </si>
  <si>
    <t>15.2.13</t>
  </si>
  <si>
    <t>JOELHO 45 GRAUS, PVC, SERIE NORMAL, ESGOTO PREDIAL, DN 50 MM, JUNTA ELÁSTICA, FORNECIDO E INSTALADO EM PRUMADA DE ESGOTO SANITÁRIO OU VENTILAÇÃO. AF_12/2014</t>
  </si>
  <si>
    <t>15.2.14</t>
  </si>
  <si>
    <t>JOELHO 45 GRAUS, PVC, SERIE NORMAL, ESGOTO PREDIAL, DN 40 MM, JUNTA SOLDÁVEL, FORNECIDO E INSTALADO EM RAMAL DE DESCARGA OU RAMAL DE ESGOTO SANITÁRIO. AF_12/2014</t>
  </si>
  <si>
    <t>15.2.15</t>
  </si>
  <si>
    <t>JOELHO 45 GRAUS, PVC, SERIE NORMAL, ESGOTO PREDIAL, DN 50 MM, JUNTA ELÁSTICA, FORNECIDO E INSTALADO EM RAMAL DE DESCARGA OU RAMAL DE ESGOTO SANITÁRIO. AF_12/2014</t>
  </si>
  <si>
    <t>15.2.16</t>
  </si>
  <si>
    <t>JOELHO 45 GRAUS, PVC, SERIE NORMAL, ESGOTO PREDIAL, DN 100 MM, JUNTA ELÁSTICA, FORNECIDO E INSTALADO EM RAMAL DE DESCARGA OU RAMAL DE ESGOTO SANITÁRIO. AF_12/2014</t>
  </si>
  <si>
    <t>15.2.17</t>
  </si>
  <si>
    <t>JOELHO 90 GRAUS, PVC, SERIE NORMAL, ESGOTO PREDIAL, DN 100 MM, JUNTA E LÁSTICA, FORNECIDO E INSTALADO EM RAMAL DE DESCARGA OU RAMAL DE ESGOTO SANITÁRIO. AF_12/2014</t>
  </si>
  <si>
    <t>15.2.18</t>
  </si>
  <si>
    <t>TE, PVC, SERIE NORMAL, ESGOTO PREDIAL, DN 50 X 50 MM, JUNTA ELÁSTICA, FORNECIDO E INSTALADO EM PRUMADA DE ESGOTO SANITÁRIO OU VENTILAÇÃO. AF12/2014</t>
  </si>
  <si>
    <t>15.2.19</t>
  </si>
  <si>
    <t>TE, PVC, SERIE NORMAL, ESGOTO PREDIAL, DN 40 X 40 MM, JUNTA SOLDÁVEL, FORNECIDO E INSTALADO EM RAMAL DE DESCARGA OU RAMAL DE ESGOTO SANITÁRIO. AF_12/2014</t>
  </si>
  <si>
    <t>15.2.20</t>
  </si>
  <si>
    <t>TUBO PVC, SERIE NORMAL, ESGOTO PREDIAL, DN 50 MM, FORNECIDO E INSTALADO EM PRUMADA DE ESGOTO SANITÁRIO OU VENTILAÇÃO. AF_12/2014</t>
  </si>
  <si>
    <t>15.2.21</t>
  </si>
  <si>
    <t>JUNÇÃO SIMPLES, PVC, SERIE R, ÁGUA PLUVIAL, DN 100 X 75 MM, JUNTA ELÁSTICA, FORNECIDO E INSTALADO EM RAMAL DE ENCAMINHAMENTO. AF_12/2014</t>
  </si>
  <si>
    <t>15.2.22</t>
  </si>
  <si>
    <t>REDUÇÃO EXCÊNTRICA, PVC, SERIE R, ÁGUA PLUVIAL, DN 75 X 50 MM, JUNTA ELÁSTICA, FORNECIDO E INSTALADO EM CONDUTORES VERTICAIS DE ÁGUAS PLUVIAIS. AF_12/2014</t>
  </si>
  <si>
    <t>15.2.23</t>
  </si>
  <si>
    <t>JUNÇÃO SIMPLES, PVC, SERIE R, ÁGUA PLUVIAL, DN 50 MM, JUNTA ELÁSTICA, FORNECIDO E INSTALADO EM RAMAL DE ENCAMINHAMENTO. AF_12/2014</t>
  </si>
  <si>
    <t>15.2.24</t>
  </si>
  <si>
    <t>JUNÇÃO SIMPLES, PVC, SERIE R, ÁGUA PLUVIAL, DN 100 X 100 MM, JUNTA ELÁ STICA, FORNECIDO E INSTALADO EM CONDUTORES VERTICAIS DE ÁGUAS PLUVIAIS . AF_12/2014</t>
  </si>
  <si>
    <t>15.2.25</t>
  </si>
  <si>
    <t xml:space="preserve"> BARRA DE APOIO RETA, EM ACO INOX POLIDO, COMPRIMENTO 60CM, FIXADA NA PAREDE - FORNECIMENTO E INSTALAÇÃO. AF_01/2020 (VASO SANITARIO E LAVATÓRIO)</t>
  </si>
  <si>
    <t>15.2.26</t>
  </si>
  <si>
    <t>TANQUE DE LOUÇA BRANCA COM COLUNA, 30L OU EQUIVALENTE, INCLUSO SIFÃO F LEXÍVEL EM PVC, VÁLVULA PLÁSTICA E TORNEIRA DE METAL CROMADO PADRÃO MEDIO - FORNECIMENTO E INSTALAÇÃO. AF_01/2020</t>
  </si>
  <si>
    <t>16.0</t>
  </si>
  <si>
    <t>IMPLANTAÇÃO/URBANIZAÇÃO</t>
  </si>
  <si>
    <t>16.1</t>
  </si>
  <si>
    <t>MURO FECHAMENTO</t>
  </si>
  <si>
    <t>16.1.1</t>
  </si>
  <si>
    <t>16.1.2</t>
  </si>
  <si>
    <t>16.1.3</t>
  </si>
  <si>
    <t>16.1.4</t>
  </si>
  <si>
    <t>CO28</t>
  </si>
  <si>
    <t>PLACA DE SINALIZACAO EM CHAPA DE ACO NUM 16 COM PINTURA REFLETIVA</t>
  </si>
  <si>
    <t>16.1.5</t>
  </si>
  <si>
    <t xml:space="preserve">PLANTIO DE GRAMA EM PLACAS. AF_05/2018 </t>
  </si>
  <si>
    <t>16.1.6</t>
  </si>
  <si>
    <t>ASSENTAMENTO DE GUIA (MEIO-FIO) EM TRECHO RETO, CONFECCIONADA EM CONCRETO PRÉ-FABRICADO, DIMENSÕES 100X15X13X30 CM (COMPRIMENTO X BASE INFERIOR X BASE SUPERIOR X ALTURA), PARA VIAS URBANAS (USO VIÁRIO). AF_06/2016</t>
  </si>
  <si>
    <t>16.1.7</t>
  </si>
  <si>
    <t>ASSENTAMENTO DE GUIA (MEIO-FIO) EM TRECHO CURVO, CONFECCIONADA EM CONCRETO PRÉ-FABRICADO, DIMENSÕES 100X15X13X30 CM (COMPRIMENTO X BASE INFERIOR X BASE SUPERIOR X ALTURA), PARA VIAS URBANAS (USO VIÁRIO). AF_06/2016</t>
  </si>
  <si>
    <t>16.1.8</t>
  </si>
  <si>
    <t>CO29</t>
  </si>
  <si>
    <t>CONCERTINA CLIPADA (DUPLA) EM AÇO GALVANIZADO DE ALTA RESISTENCIA, COM ESPIRAL M 27,02
DE 300 MM, D = 2,76 MM, COM SUPORTE (HASTE) A CADA 2 M  - FORNECIMENTO E INSTALAÇÃO</t>
  </si>
  <si>
    <t>17.0</t>
  </si>
  <si>
    <t>SERVIÇOS COMPLEMENTARES</t>
  </si>
  <si>
    <t>17.1.1</t>
  </si>
  <si>
    <t>FOSSO/URBANISMO</t>
  </si>
  <si>
    <t>ESCAVAÇÃO MANUAL DE VALAS. AF_03/2016</t>
  </si>
  <si>
    <t>17.1.2</t>
  </si>
  <si>
    <t>17.1.3</t>
  </si>
  <si>
    <t>17.1.4</t>
  </si>
  <si>
    <t>17.1.5</t>
  </si>
  <si>
    <t>17.1.6</t>
  </si>
  <si>
    <t>17.1.7</t>
  </si>
  <si>
    <t>17.1.8</t>
  </si>
  <si>
    <t>17.1.9</t>
  </si>
  <si>
    <t>17.1.10</t>
  </si>
  <si>
    <t>17.1.11</t>
  </si>
  <si>
    <t>PROTEÇÃO MECÂNICA DE SUPERFÍCIE HORIZONTAL COM ARGAMASSA DE CIMENTO E AREIA, TRAÇO 1:3, E=2CM. AF_06/2018</t>
  </si>
  <si>
    <t>17.1.12</t>
  </si>
  <si>
    <t>PROTEÇÃO MECÂNICA DE SUPERFÍCIE VERTICAL COM ARGAMASSA DE CIMENTO E AREIA, TRAÇO 1:3, E=2CM. AF_06/2018</t>
  </si>
  <si>
    <t>17.1.13</t>
  </si>
  <si>
    <t>IMPERMEABILIZAÇÃO DE SUPERFÍCIE COM MEMBRANA À BASE DE POLIURETANO, 2DEMÃOS. AF_06/2018</t>
  </si>
  <si>
    <t>17.1.14</t>
  </si>
  <si>
    <t>CO30</t>
  </si>
  <si>
    <t>CHAPA METÁLICA DOBRADA MEDINDO 100X160X100X6000 E 100X160X100X1200 NA CHAPA #11 (INSTALAR NA BORDA DO FOSSO) PINTADO EM ZEBRA AMARELO E PRETO</t>
  </si>
  <si>
    <t>18.0</t>
  </si>
  <si>
    <t>LIMPEZA FINAL DA OBRA</t>
  </si>
  <si>
    <t>18.1</t>
  </si>
  <si>
    <t>LIMPEZA DE PISO CERÂMICO OU PORCELANATO COM PANO ÚMIDO. AF_04/2019</t>
  </si>
  <si>
    <t>TOTAL GERAL DO ORÇAMENTO</t>
  </si>
  <si>
    <t>Importa o presente orçamento em R$ 627.301,57  (seiscentos e viinte e sete mil trezentos e um reais, cinquenta e sete centavos)</t>
  </si>
  <si>
    <t>CRONOGRAMA FÍSICO FINANCEIRO</t>
  </si>
  <si>
    <t>Obra: Reforma 61ª  Ciretran confresa MT</t>
  </si>
  <si>
    <t>Local: Confresa/MT</t>
  </si>
  <si>
    <t>Data: AGOSTO 2022</t>
  </si>
  <si>
    <t>ESPECIFICAÇÃO</t>
  </si>
  <si>
    <t>%</t>
  </si>
  <si>
    <t>TOTAL
DO ITEM</t>
  </si>
  <si>
    <t>DIAS</t>
  </si>
  <si>
    <t>TOTAL</t>
  </si>
  <si>
    <t>00-30</t>
  </si>
  <si>
    <t>31-60</t>
  </si>
  <si>
    <t>61-90</t>
  </si>
  <si>
    <t>90-120</t>
  </si>
  <si>
    <t>120-150</t>
  </si>
  <si>
    <t>150-180</t>
  </si>
  <si>
    <t>TOTAL MENSAL/ ACUMULADO</t>
  </si>
  <si>
    <t>COMPOSIÇÃO DE CUSTO MATERIAIS E SERVIÇOS DIVERSOS</t>
  </si>
  <si>
    <t>PLACA DE  OBRA EM CHAPA AÇO GALVANIZADO</t>
  </si>
  <si>
    <t>REFERÊNCIA</t>
  </si>
  <si>
    <t>UND</t>
  </si>
  <si>
    <t>QUANT.</t>
  </si>
  <si>
    <t>VALOR UNIT</t>
  </si>
  <si>
    <t>CARPINTEIRO DE FORMAS COM ENCARGOS COMPLEMENTARES</t>
  </si>
  <si>
    <t>H</t>
  </si>
  <si>
    <t>SERVENTE COM ENCARGOS COMPLEMENTARES</t>
  </si>
  <si>
    <t>00005075</t>
  </si>
  <si>
    <t>PREGO DE ACO POLIDO COM CABECA 18 X 30 (2 3/4 X 10)</t>
  </si>
  <si>
    <t>KG</t>
  </si>
  <si>
    <t>00004415</t>
  </si>
  <si>
    <t>SARRAFO NAO APARELHADO 2,5 X 5 CM, EM MACARANDUBA, ANGELIM OU EQUIVALENTE DA REGIAO - BRUTA</t>
  </si>
  <si>
    <t>00004813</t>
  </si>
  <si>
    <t>PLACA DE OBRA (PARA CONSTRUCAO CIVIL) EM CHAPA GALVANIZADA *N. 22*, ADESIVADA, DE *2,4 X 1,2* M (SEM POSTES PARA FIXACAO)</t>
  </si>
  <si>
    <t>00004400</t>
  </si>
  <si>
    <t>CAIBRO NAO APARELHADO, *6 X 8* CM, EM MACARANDUBA, ANGELIM OU EQUIVALENTE DA REGIAO - BRUTA</t>
  </si>
  <si>
    <t>CONCRETO MAGRO PARA LASTRO, TRAÇO 1:4,5:4,5 (CIMENTO/ AREIA MÉDIA/ BRITA 1)  - PREPARO MECÂNICO COM BETONEIRA 400 L. AF_07/2016</t>
  </si>
  <si>
    <t>TOTAL GERAL</t>
  </si>
  <si>
    <t>cotação</t>
  </si>
  <si>
    <t>CAÇAMBA BOTA FORA5,0 M³</t>
  </si>
  <si>
    <t>TAXA DE DESTINAÇÃO FINAL DE RESÍDUOS SÓLIDOS DA CONSTRUÇÃO CIVIL</t>
  </si>
  <si>
    <t>DEMOLIÇÃO CONCRETO SIMPLES</t>
  </si>
  <si>
    <t>PEDREIRO COM ENCARGOS COMPLEMENTARES</t>
  </si>
  <si>
    <t>ESTRUTURA  DE AÇO PARA COBERTURA EM PERFIL C 100mmx50mmx15mm na # 11 ASSENTADOS COMO TERÇA A CADA 1,20 M (9 linhas de 18,00 DE COMPRIMENTO E 6 LINHAS de 8,90  )</t>
  </si>
  <si>
    <t>SERRALHEIRO COM ENCARGOS COMPLEMENTARES</t>
  </si>
  <si>
    <t>AUXILIAR DE SERRALHEIRO COM ENCARGOS COMPLEMENTARES</t>
  </si>
  <si>
    <t>perfil de aço carbono tipo "C" 100x50x15mm na chapa #11, 9 linhas de 18,00 metros</t>
  </si>
  <si>
    <t>OBS: perfil cotado na Açofer R$ 401,10 barras de 6,00 m R$ 66,85/m</t>
  </si>
  <si>
    <t>para 1m² de cobertura consome 0,99ml de perfil</t>
  </si>
  <si>
    <t>FERMAT R$ 476,00</t>
  </si>
  <si>
    <t>portão chapa metálica #16 requadro metalon 50x30mm #16 MEDINDO 4,00X 2,60</t>
  </si>
  <si>
    <t>und</t>
  </si>
  <si>
    <t>VALOR UNIT.</t>
  </si>
  <si>
    <t>Metalon 50x30 chapa 16</t>
  </si>
  <si>
    <t>chapa de aço #16</t>
  </si>
  <si>
    <t>Cantoneira L 1"x3/16"</t>
  </si>
  <si>
    <t>Roldana com Caixa 3"</t>
  </si>
  <si>
    <t>Perfil U 40x40#14</t>
  </si>
  <si>
    <t>Perfil 100x100 #12</t>
  </si>
  <si>
    <t>trinco para portão</t>
  </si>
  <si>
    <t>eletrodo 2.1/2</t>
  </si>
  <si>
    <t>DOBRADICA EM ACO/FERRO, 3" X 2 1/2", E= 1,2 A 1,8 MM, SEM ANEL, CROMADO OU ZINCADO, TAMPA CHATA, COM PARAFUSO</t>
  </si>
  <si>
    <t>total</t>
  </si>
  <si>
    <t>cotação vencedora multiaço</t>
  </si>
  <si>
    <t>TOTAL POR M²</t>
  </si>
  <si>
    <t>88264</t>
  </si>
  <si>
    <t>ELETRICISTA COM ENCARGOS COMPLEMENTARES</t>
  </si>
  <si>
    <t>88247</t>
  </si>
  <si>
    <t>AUXILIAR DE ELETRICISTA COM ENCARGOS COMPLEMENTARES</t>
  </si>
  <si>
    <t>88309</t>
  </si>
  <si>
    <t>96985</t>
  </si>
  <si>
    <t>96977</t>
  </si>
  <si>
    <t>94975</t>
  </si>
  <si>
    <t>CONCRETO FCK = 15MPA, TRAÇO 1:3,4:3,5 (CIMENTO/ AREIA MÉDIA/ BRITA 1)- PREPARO MANUAL. AF_07/2016</t>
  </si>
  <si>
    <t>ASSENTAMENTO DE POSTE DE CONCRETO COM COMPRIMENTO NOMINAL DE 9 M, CARGA NOMINAL MENOR OU IGUAL A 1000 DAN, ENGASTAMENTO SIMPLES COM 1,5 M DE SOLO (NÃO INCLUI FORNECIMENTO). AF_11/2019</t>
  </si>
  <si>
    <t>as</t>
  </si>
  <si>
    <t>00001062</t>
  </si>
  <si>
    <t>CAIXA INTERNA/EXTERNA DE MEDICAO PARA 1 MEDIDOR TRIFASICO, COM VISOR, EM CHAPADE ACO 18 USG (PADRAO DA CONCESSIONARIA LOCAL)</t>
  </si>
  <si>
    <t>00039234</t>
  </si>
  <si>
    <t>CABO DE COBRE, FLEXIVEL, CLASSE 4 OU 5, ISOLACAO EM PVC/A, ANTICHAMA BWF-B, 1CONDUTOR, 450/750 V, SECAO NOMINAL 50 MM2</t>
  </si>
  <si>
    <t>00039233</t>
  </si>
  <si>
    <t>CABO DE COBRE, FLEXIVEL, CLASSE 4 OU 5, ISOLACAO EM PVC/A, ANTICHAMA BWF-B, 1CONDUTOR, 450/750 V, SECAO NOMINAL 35 MM2</t>
  </si>
  <si>
    <t>00005033</t>
  </si>
  <si>
    <t>POSTE DE CONCRETO DUPLO T, TIPO B, 300 KG, H = 9 M (NBR 8451)</t>
  </si>
  <si>
    <t>00002681</t>
  </si>
  <si>
    <t>ELETRODUTO DE PVC RIGIDO ROSCAVEL DE 2 ", SEM LUVA</t>
  </si>
  <si>
    <t>00001100</t>
  </si>
  <si>
    <t>CABECOTE PARA ENTRADA DE LINHA DE ALIMENTACAO PARA ELETRODUTO, EM LIGA DEALUMINIO COM ACABAMENTO ANTI CORROSIVO, COM FIXACAO POR ENCAIXE LISO DE 360 GRAUS, DE 2"</t>
  </si>
  <si>
    <t>00000404</t>
  </si>
  <si>
    <t>FITA ISOLANTE DE BORRACHA AUTOFUSAO, USO ATE 69 KV (ALTA TENSAO)</t>
  </si>
  <si>
    <t>00000425</t>
  </si>
  <si>
    <t>GRAMPO METALICO TIPO OLHAL PARA HASTE DE ATERRAMENTO DE 5/8'', CONDUTOR DE *10* A 50 MM2</t>
  </si>
  <si>
    <t>00039132</t>
  </si>
  <si>
    <t>ABRACADEIRA EM ACO PARA AMARRACAO DE ELETRODUTOS, TIPO D, COM 2" E CUNHA DE FIXACAO</t>
  </si>
  <si>
    <t>00011862</t>
  </si>
  <si>
    <t>CONECTOR METALICO TIPO PARAFUSO FENDIDO (SPLIT BOLT), PARA CABOS ATE 50 MM2</t>
  </si>
  <si>
    <t>00011854</t>
  </si>
  <si>
    <t>CONECTOR METALICO TIPO PARAFUSO FENDIDO (SPLIT BOLT), PARA CABOS ATE 35 MM2</t>
  </si>
  <si>
    <t>1094</t>
  </si>
  <si>
    <t>ARMACAO VERTICAL COM HASTE E CONTRA-PINO, EM CHAPA DE ACO GALVANIZADO 3/16",COM 1 ESTRIBO, SEM ISOLADOR</t>
  </si>
  <si>
    <t>00003398</t>
  </si>
  <si>
    <t>ISOLADOR DE PORCELANA, TIPO ROLDANA, DIMENSOES DE *72* X *72* MM, PARA USO EMBAIXA TENSAO</t>
  </si>
  <si>
    <t>00004346</t>
  </si>
  <si>
    <t>PARAFUSO DE FERRO POLIDO, SEXTAVADO, COM ROSCA PARCIAL, DIAMETRO 5/8", COMPRIMENTO 6", COM PORCA E ARRUELA DE PRESSAO MEDIA</t>
  </si>
  <si>
    <t>00011267</t>
  </si>
  <si>
    <t>ARRUELA LISA, REDONDA, DE LATAO POLIDO, DIAMETRO NOMINAL 5/8", DIAMETRO EXTERNO = 34 MM, DIAMETRO DO FURO = 17 MM, ESPESSURA = *2,5* MM</t>
  </si>
  <si>
    <t>00002373</t>
  </si>
  <si>
    <t>DISJUNTOR TIPO NEMA, TRIPOLAR 60 ATE 100 A, TENSAO MAXIMA DE 415 V</t>
  </si>
  <si>
    <t>00041628</t>
  </si>
  <si>
    <t>CAIXA DE CONCRETO ARMADO PRE-MOLDADO, COM FUNDO E TAMPA, DIMENSOES DE 0,40 X0,40 X 0,40 M</t>
  </si>
  <si>
    <t>00034643</t>
  </si>
  <si>
    <t>CAIXA INSPECAO EM POLIETILENO PARA ATERRAMENTO E PARA RAIOS DIAMETRO = 300 MM</t>
  </si>
  <si>
    <t>CAIXA DE SOBREPOR 15X15X10 CM INSTALADO EM PAREDE PARA 01 DISJUNTOR DIN BIPOLAR-FORNECIMENTO E INSTALAÇÃO</t>
  </si>
  <si>
    <t>00043097</t>
  </si>
  <si>
    <t>CAIXA DE PASSAGEM ELETRICA DE PAREDE, DE SOBREPOR, EM TERMOPLASTICO / PVCCOM TAMPA APARAFUSADA, DIMENSOES, 150 X 150 X *100* MM</t>
  </si>
  <si>
    <t>11950</t>
  </si>
  <si>
    <t>BUCHA DE NYLON SEM ABA S6, COM PARAFUSO DE 4,20 X 40 MM EM ACO ZINCADO COM ROSCA SOBERBA, CABECA CHATA E FENDA PHILLIPS</t>
  </si>
  <si>
    <t>LUMINARIA DE SOBREPOR EM CHAPA DE ACO PARA 2 LAMPADAS LED DE *18* W, PERFIL COMERCIAL (NAO INCLUI REATOR E LAMPADAS)</t>
  </si>
  <si>
    <t>00012239</t>
  </si>
  <si>
    <t>LUMINARIA DE SOBREPOR EM CHAPA DE ACO PARA 2 LAMPADAS FLUORESCENTES DE *36* W, PERFIL COMERCIAL (NAO INCLUI REATOR E LAMPADAS)</t>
  </si>
  <si>
    <t>00039387</t>
  </si>
  <si>
    <t>LAMPADA LED TUBULAR BIVOLT 18/20 W, BASE G13</t>
  </si>
  <si>
    <t>FITA ISOLANTE ADESIVA ANTICHAMA, USO ATE 750 V, EM ROLO DE 19 MM X 5 M</t>
  </si>
  <si>
    <t>REFLETOR LED 100W PARA ILUMINAÇÃO EM AMBIENTES EXTERNOS 127/220V</t>
  </si>
  <si>
    <t>00039391</t>
  </si>
  <si>
    <t>LUMINARIA LED REFLETOR RETANGULAR BIVOLT, LUZ BRANCA, 50 W</t>
  </si>
  <si>
    <t>REFLETOR LED 50W PARA ILUMINAÇÃO EM AMBIENTES EXTERNOS 127/220V</t>
  </si>
  <si>
    <t>DISJUNTOR TIPO DIN/IEC, TRIPOLAR 63 A</t>
  </si>
  <si>
    <t>00001576</t>
  </si>
  <si>
    <t>TERMINAL A COMPRESSAO EM COBRE ESTANHADO PARA CABO 25 MM2, 1 FURO E 1 COMPRESSAO, PARA PARAFUSO DE FIXACAO M8</t>
  </si>
  <si>
    <t>DISPOSITIVO DR, 2 POLOS, SENSIBILIDADE DE 30 MA, CORRENTE DE 40 A, TIPO AC - FORNECIMENTO E INSTALAÇÃO. AF_10/2020</t>
  </si>
  <si>
    <t>00039446</t>
  </si>
  <si>
    <t>DISPOSITIVO DR, 2 POLOS, SENSIBILIDADE DE 30 MA, CORRENTE DE 40 A, TIPO AC</t>
  </si>
  <si>
    <t>00001573</t>
  </si>
  <si>
    <t>TERMINAL A COMPRESSAO EM COBRE ESTANHADO PARA CABO 6 MM2, 1 FURO E 1 COMPRESSAO, PARA PARAFUSO DE FIXACAO M6</t>
  </si>
  <si>
    <t>00039467</t>
  </si>
  <si>
    <t>DISPOSITIVO DPS CLASSE II, 1 POLO, TENSAO MAXIMA DE 175 V, CORRENTE MAXIMA DE *45* KA (TIPO AC</t>
  </si>
  <si>
    <t>00001577</t>
  </si>
  <si>
    <t>TERMINAL A COMPRESSAO EM COBRE ESTANHADO PARA CABO 35 MM2, 1 FURO E 1 COMPRESSAO, PARA PARAFUSO DE FIXACAO M8</t>
  </si>
  <si>
    <t>TERMINAL A COMPRESSAO EM COBRE ESTANHADO PARA CABO 16 MM2, 1 FURO E 1 COMPRESSAO, PARA PARAFUSO DE FIXACAO M8 - FORNECIMENTO E INSTALAÇÃO</t>
  </si>
  <si>
    <t>00001575</t>
  </si>
  <si>
    <t>TERMINAL A COMPRESSAO EM COBRE ESTANHADO PARA CABO 16 MM2, 1 FURO E 1 COMPRESSAO, PARA PARAFUSO DE FIXACAO M8</t>
  </si>
  <si>
    <t>TERMINAL A COMPRESSAO EM COBRE ESTANHADO PARA CABO 4 MM2, 1 FURO E 1 COMPRESSAO, PARA PARAFUSO DE FIXACAO M8 - FORNECIMENTO E INSTALAÇÃO</t>
  </si>
  <si>
    <t>00001571</t>
  </si>
  <si>
    <t>TERMINAL A COMPRESSAO EM COBRE ESTANHADO PARA CABO 4 MM2, 1 FURO E 1 COMPRESSAO, PARA PARAFUSO DE FIXACAO M8</t>
  </si>
  <si>
    <t>CAIXA DE PASSAGEM DE PAREDE, DE EMBUTIR, EM PVC, DIMENSOES *200 X 200 X 90* MM - FORNECIMENTO INSTALAÇÃO</t>
  </si>
  <si>
    <t>88316</t>
  </si>
  <si>
    <t>00039812</t>
  </si>
  <si>
    <t>CAIXA DE PASSAGEM DE PAREDE, DE EMBUTIR, EM PVC, DIMENSOES *200 X 200 X 90* MM</t>
  </si>
  <si>
    <t>RACK FECHADO 16Ux19"x450mm, PORTA EM ACRÍLICO, SEGUNDO PLANO DE RECUO - FONECIMENTO E INSTALAÇÃO</t>
  </si>
  <si>
    <t>COTAÇÃO</t>
  </si>
  <si>
    <t>Fornecimento e instalação de rack fechado 16Ux19"x450mm, porta em acrilico, segundo plano de recuo, regua para 5 tomadas.</t>
  </si>
  <si>
    <t>STEEL TELECOM</t>
  </si>
  <si>
    <t>01.182.364/0001-00</t>
  </si>
  <si>
    <t>(11)3989-2842</t>
  </si>
  <si>
    <t>steeltelecom.com.br</t>
  </si>
  <si>
    <t>KADRI</t>
  </si>
  <si>
    <t>07.870.634/0001-44</t>
  </si>
  <si>
    <t>(65)3648-5600</t>
  </si>
  <si>
    <t>kadri.com.br</t>
  </si>
  <si>
    <t>TUDO FORTE</t>
  </si>
  <si>
    <t>08.626.431/0001-70</t>
  </si>
  <si>
    <t>(11) 3334-3720</t>
  </si>
  <si>
    <t>centralcabos.com.br</t>
  </si>
  <si>
    <t>ORANIZADOR DE CABOS HORIZONTAL COM TAMPA FRONTAL REMOVÍVEL 19" X 1U -FORNECIMENTO E INSTALAÇÃO</t>
  </si>
  <si>
    <t>Fornecimento e instalação de organizador de cabos horizontal com tampa frontal removível 19" X 1U</t>
  </si>
  <si>
    <t>material cotado Plug mais conection tel 36485700</t>
  </si>
  <si>
    <t>Fornecimento e instalação de bandeja dupla fixação com comprimento de 600mm para rack 19"</t>
  </si>
  <si>
    <t>PATCH CORD, CATEGORIA 5 E, EXTENSAO DE 1,50 M - FORNECIMENTO E INSTALAÇÃO</t>
  </si>
  <si>
    <t>39604</t>
  </si>
  <si>
    <t>PATCH CORD, CATEGORIA 5 E, EXTENSAO DE 1,50 M</t>
  </si>
  <si>
    <t>PATCH CORD, CATEGORIA 5 E, EXTENSAO DE 2,50 M - FORNECIMENTO E INSTALAÇÃO</t>
  </si>
  <si>
    <t>39605</t>
  </si>
  <si>
    <t>PATCH CORD, CATEGORIA 5 E, EXTENSAO DE 2,50 M</t>
  </si>
  <si>
    <t>00039602</t>
  </si>
  <si>
    <t>CONECTOR MACHO RJ - 45, CATEGORIA 5 E</t>
  </si>
  <si>
    <t>ELETROCALHA PERFURADA GALVANIZADA DE 100 X 50 X 3000mm</t>
  </si>
  <si>
    <t>00002501</t>
  </si>
  <si>
    <t>ELETRODUTO FLEXIVEL, EM ACO GALVANIZADO, REVESTIDO EXTERNAMENTE COM PVC  PRETO, DIAMETRO EXTERNO DE 32 MM (1"), TIPO SEALTUBO</t>
  </si>
  <si>
    <t>ENCANADOR OU BOMBEIRO HIDRÁULICO COM ENCARGOS COMPLEMENTARES</t>
  </si>
  <si>
    <t>PARAFUSO NIQUELADO 3 1/2" COM ACABAMENTO CROMADO PARA FIXAR PECA SANITARIA, INCLUI PORCA CEGA, ARRUELA E BUCHA DE NYLON TAMANHO S-8</t>
  </si>
  <si>
    <t>UN</t>
  </si>
  <si>
    <t>REJUNTE EPOXI, QUALQUER COR</t>
  </si>
  <si>
    <t>PLACA DE SINALIZACAO EM CHAPA DE ACO NUM 16 COM PINTURA REFLETIVA MEDINDO 0,50X0,75 M</t>
  </si>
  <si>
    <t>PONTALETE *7,5 X 7,5* CM EM PINUS, MISTA OU EQUIVALENTE DA REGIAO - BRUTA</t>
  </si>
  <si>
    <t>CONCRETO MAGRO PARA LASTRO, TRAÇO 1:4,5:4,5 (CIMENTO/ AREIA MÉDIA/ BRIA 1) - PREPARO MANUAL. AF_07/2016</t>
  </si>
  <si>
    <t>Concertina clipada (dupla) em aço galvanizado de alta resistencia, com espiral de 300 MM, D = 2,76 MM</t>
  </si>
  <si>
    <t>M</t>
  </si>
  <si>
    <t>Haste de aço galvanizado para fixação de concertina 2 "/3 M</t>
  </si>
  <si>
    <t>FURO EM ALVENARIA PARA DIÂMETROS MAIORES QUE 75 MM. AF_05/2015</t>
  </si>
  <si>
    <t>Concreto magro para lastro, traço 1:4,5:4,5 (cimento/ areia média/ brita 1) - preparo manual. AF_07/2016</t>
  </si>
  <si>
    <t>CHAPA METÁLICA DOBRADA MEDINDO 100X160X100X6000 E 100X160X100X1200 NA CHAPA #11 (INSTALAR NA BORDA DO FOSSO)</t>
  </si>
  <si>
    <t xml:space="preserve"> PINTURA COM TINTA ALQUÍDICA DE ACABAMENTO (ESMALTE SINTÉTICO FOSCO) APLICADA A ROLO OU PINCEL SOBRE PERFIL METÁLICO EXECUTADO EM FÁBRICA (POR DEMÃO). AF_01/2020</t>
  </si>
  <si>
    <t>PARAFUSO DE ACO TIPO CHUMBADOR PARABOLT, DIAMETRO 3/8", COMPRIMENTO 75 MM</t>
  </si>
  <si>
    <t>chapa metálica dobrada medindo (100x160x100x6200)x2+(100x160x100x1000)x2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</si>
</sst>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&quot; &quot;[$R$]#,##0.00&quot; &quot;;&quot;-&quot;[$R$]#,##0.00&quot; &quot;;&quot; &quot;[$R$]&quot;-&quot;00&quot; &quot;;&quot; &quot;@&quot; &quot;"/>
    <numFmt numFmtId="165" formatCode="#,##0.000"/>
    <numFmt numFmtId="166" formatCode="0.00000"/>
    <numFmt numFmtId="167" formatCode="&quot; &quot;#,##0.00&quot; &quot;;&quot; (&quot;#,##0.00&quot;)&quot;;&quot; -&quot;#&quot; &quot;;&quot; &quot;@&quot; &quot;"/>
    <numFmt numFmtId="168" formatCode="&quot; R$ &quot;#,##0.00&quot; &quot;;&quot;-R$ &quot;#,##0.00&quot; &quot;;&quot; R$ -&quot;#&quot; &quot;;&quot; &quot;@&quot; &quot;"/>
    <numFmt numFmtId="169" formatCode="[$R$-416]#,##0.00"/>
    <numFmt numFmtId="170" formatCode="&quot; &quot;#,##0.00&quot; &quot;;&quot; (&quot;#,##0.00&quot;)&quot;;&quot; -&quot;00&quot; &quot;;&quot; &quot;@&quot; &quot;"/>
    <numFmt numFmtId="171" formatCode="[$R$]#,##0.00"/>
    <numFmt numFmtId="172" formatCode="&quot; &quot;#,##0.00&quot; &quot;;&quot;-&quot;#,##0.00&quot; &quot;;&quot; -&quot;00&quot; &quot;;&quot; &quot;@&quot; &quot;"/>
  </numFmts>
  <fonts count="33">
    <font>
      <sz val="11"/>
      <color rgb="FF000000"/>
      <name val="Arial1"/>
    </font>
    <font>
      <sz val="11"/>
      <color rgb="FF000000"/>
      <name val="Arial1"/>
    </font>
    <font>
      <b/>
      <sz val="10"/>
      <color rgb="FF000000"/>
      <name val="Arial1"/>
    </font>
    <font>
      <sz val="10"/>
      <color rgb="FFFFFFFF"/>
      <name val="Arial1"/>
    </font>
    <font>
      <sz val="10"/>
      <color rgb="FFCC0000"/>
      <name val="Arial1"/>
    </font>
    <font>
      <b/>
      <sz val="10"/>
      <color rgb="FFFFFFFF"/>
      <name val="Arial1"/>
    </font>
    <font>
      <i/>
      <sz val="10"/>
      <color rgb="FF808080"/>
      <name val="Arial1"/>
    </font>
    <font>
      <sz val="10"/>
      <color rgb="FF006600"/>
      <name val="Arial1"/>
    </font>
    <font>
      <b/>
      <sz val="24"/>
      <color rgb="FF000000"/>
      <name val="Arial1"/>
    </font>
    <font>
      <sz val="18"/>
      <color rgb="FF000000"/>
      <name val="Arial1"/>
    </font>
    <font>
      <sz val="12"/>
      <color rgb="FF000000"/>
      <name val="Arial1"/>
    </font>
    <font>
      <u/>
      <sz val="10"/>
      <color rgb="FF0000EE"/>
      <name val="Arial1"/>
    </font>
    <font>
      <sz val="10"/>
      <color rgb="FF996600"/>
      <name val="Arial1"/>
    </font>
    <font>
      <sz val="10"/>
      <color rgb="FF333333"/>
      <name val="Arial1"/>
    </font>
    <font>
      <sz val="10"/>
      <color rgb="FF000000"/>
      <name val="Arial"/>
      <family val="2"/>
    </font>
    <font>
      <b/>
      <i/>
      <u/>
      <sz val="10"/>
      <color rgb="FF000000"/>
      <name val="Arial1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000000"/>
      <name val="Arial1"/>
    </font>
    <font>
      <sz val="8"/>
      <color rgb="FF003300"/>
      <name val="Arial"/>
      <family val="2"/>
    </font>
    <font>
      <sz val="8"/>
      <color rgb="FF005BAA"/>
      <name val="Courier"/>
    </font>
    <font>
      <b/>
      <sz val="14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10"/>
      <color rgb="FF333333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CCCCFF"/>
        <bgColor rgb="FFCCCCFF"/>
      </patternFill>
    </fill>
    <fill>
      <patternFill patternType="solid">
        <fgColor rgb="FFC0C0C0"/>
        <bgColor rgb="FFC0C0C0"/>
      </patternFill>
    </fill>
    <fill>
      <patternFill patternType="solid">
        <fgColor rgb="FFFF0000"/>
        <bgColor rgb="FFFF0000"/>
      </patternFill>
    </fill>
    <fill>
      <patternFill patternType="solid">
        <fgColor rgb="FFB4C6E7"/>
        <bgColor rgb="FFB4C6E7"/>
      </patternFill>
    </fill>
  </fills>
  <borders count="2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9">
    <xf numFmtId="0" fontId="0" fillId="0" borderId="0"/>
    <xf numFmtId="17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167" fontId="1" fillId="0" borderId="0" applyFon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168" fontId="1" fillId="0" borderId="0" applyFon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9" fontId="14" fillId="0" borderId="0" applyFill="0" applyBorder="0" applyAlignment="0" applyProtection="0"/>
    <xf numFmtId="9" fontId="14" fillId="0" borderId="0" applyFill="0" applyBorder="0" applyAlignment="0" applyProtection="0"/>
    <xf numFmtId="0" fontId="15" fillId="0" borderId="0" applyNumberFormat="0" applyBorder="0" applyProtection="0"/>
    <xf numFmtId="167" fontId="1" fillId="0" borderId="0" applyFont="0" applyBorder="0" applyProtection="0"/>
    <xf numFmtId="167" fontId="14" fillId="0" borderId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170" fontId="14" fillId="0" borderId="0" applyFill="0" applyBorder="0" applyAlignment="0" applyProtection="0"/>
    <xf numFmtId="0" fontId="4" fillId="0" borderId="0" applyNumberFormat="0" applyBorder="0" applyProtection="0"/>
  </cellStyleXfs>
  <cellXfs count="394">
    <xf numFmtId="0" fontId="0" fillId="0" borderId="0" xfId="0"/>
    <xf numFmtId="0" fontId="0" fillId="0" borderId="2" xfId="0" applyBorder="1" applyAlignment="1">
      <alignment vertical="center"/>
    </xf>
    <xf numFmtId="4" fontId="16" fillId="0" borderId="3" xfId="0" applyNumberFormat="1" applyFont="1" applyBorder="1" applyAlignment="1">
      <alignment vertical="center"/>
    </xf>
    <xf numFmtId="4" fontId="16" fillId="0" borderId="3" xfId="0" applyNumberFormat="1" applyFont="1" applyBorder="1" applyAlignment="1">
      <alignment wrapText="1"/>
    </xf>
    <xf numFmtId="4" fontId="14" fillId="0" borderId="3" xfId="0" applyNumberFormat="1" applyFont="1" applyBorder="1" applyAlignment="1">
      <alignment vertical="center"/>
    </xf>
    <xf numFmtId="4" fontId="14" fillId="0" borderId="3" xfId="0" applyNumberFormat="1" applyFont="1" applyBorder="1" applyAlignment="1"/>
    <xf numFmtId="4" fontId="14" fillId="0" borderId="4" xfId="0" applyNumberFormat="1" applyFont="1" applyBorder="1" applyAlignment="1">
      <alignment vertical="center"/>
    </xf>
    <xf numFmtId="4" fontId="14" fillId="0" borderId="0" xfId="0" applyNumberFormat="1" applyFont="1" applyAlignment="1"/>
    <xf numFmtId="4" fontId="14" fillId="9" borderId="0" xfId="0" applyNumberFormat="1" applyFont="1" applyFill="1" applyAlignment="1"/>
    <xf numFmtId="4" fontId="14" fillId="0" borderId="0" xfId="0" applyNumberFormat="1" applyFont="1"/>
    <xf numFmtId="2" fontId="14" fillId="0" borderId="0" xfId="0" applyNumberFormat="1" applyFont="1"/>
    <xf numFmtId="4" fontId="0" fillId="0" borderId="0" xfId="0" applyNumberFormat="1"/>
    <xf numFmtId="0" fontId="0" fillId="0" borderId="5" xfId="0" applyBorder="1" applyAlignment="1">
      <alignment vertical="center"/>
    </xf>
    <xf numFmtId="4" fontId="16" fillId="0" borderId="0" xfId="0" applyNumberFormat="1" applyFont="1" applyAlignment="1">
      <alignment vertical="center"/>
    </xf>
    <xf numFmtId="4" fontId="16" fillId="0" borderId="0" xfId="0" applyNumberFormat="1" applyFont="1" applyAlignment="1">
      <alignment wrapText="1"/>
    </xf>
    <xf numFmtId="4" fontId="14" fillId="0" borderId="0" xfId="0" applyNumberFormat="1" applyFont="1" applyAlignment="1">
      <alignment vertical="center"/>
    </xf>
    <xf numFmtId="4" fontId="14" fillId="0" borderId="6" xfId="0" applyNumberFormat="1" applyFont="1" applyBorder="1" applyAlignment="1">
      <alignment vertical="center"/>
    </xf>
    <xf numFmtId="0" fontId="16" fillId="10" borderId="7" xfId="0" applyFont="1" applyFill="1" applyBorder="1" applyAlignment="1">
      <alignment wrapText="1"/>
    </xf>
    <xf numFmtId="4" fontId="17" fillId="0" borderId="0" xfId="0" applyNumberFormat="1" applyFont="1" applyAlignment="1">
      <alignment horizontal="left"/>
    </xf>
    <xf numFmtId="4" fontId="19" fillId="0" borderId="0" xfId="0" applyNumberFormat="1" applyFont="1" applyAlignment="1">
      <alignment horizontal="center"/>
    </xf>
    <xf numFmtId="4" fontId="19" fillId="9" borderId="0" xfId="0" applyNumberFormat="1" applyFont="1" applyFill="1" applyAlignment="1">
      <alignment horizontal="center"/>
    </xf>
    <xf numFmtId="4" fontId="16" fillId="0" borderId="0" xfId="0" applyNumberFormat="1" applyFont="1" applyAlignment="1">
      <alignment horizontal="center" vertical="center"/>
    </xf>
    <xf numFmtId="4" fontId="16" fillId="0" borderId="0" xfId="0" applyNumberFormat="1" applyFont="1" applyAlignment="1">
      <alignment horizontal="center" wrapText="1"/>
    </xf>
    <xf numFmtId="4" fontId="14" fillId="0" borderId="0" xfId="0" applyNumberFormat="1" applyFont="1" applyAlignment="1">
      <alignment horizontal="center" vertical="center"/>
    </xf>
    <xf numFmtId="4" fontId="14" fillId="0" borderId="0" xfId="0" applyNumberFormat="1" applyFont="1" applyAlignment="1">
      <alignment horizontal="center"/>
    </xf>
    <xf numFmtId="4" fontId="14" fillId="9" borderId="0" xfId="0" applyNumberFormat="1" applyFont="1" applyFill="1" applyAlignment="1">
      <alignment horizontal="center"/>
    </xf>
    <xf numFmtId="4" fontId="14" fillId="0" borderId="6" xfId="0" applyNumberFormat="1" applyFont="1" applyBorder="1" applyAlignment="1">
      <alignment horizontal="center" vertical="center"/>
    </xf>
    <xf numFmtId="2" fontId="14" fillId="9" borderId="0" xfId="3" applyNumberFormat="1" applyFont="1" applyFill="1" applyAlignment="1"/>
    <xf numFmtId="0" fontId="0" fillId="0" borderId="10" xfId="0" applyBorder="1" applyAlignment="1">
      <alignment vertical="center"/>
    </xf>
    <xf numFmtId="4" fontId="16" fillId="0" borderId="11" xfId="0" applyNumberFormat="1" applyFont="1" applyBorder="1" applyAlignment="1">
      <alignment horizontal="center" vertical="center"/>
    </xf>
    <xf numFmtId="4" fontId="16" fillId="0" borderId="11" xfId="0" applyNumberFormat="1" applyFont="1" applyBorder="1" applyAlignment="1">
      <alignment horizontal="center" wrapText="1"/>
    </xf>
    <xf numFmtId="4" fontId="14" fillId="0" borderId="11" xfId="0" applyNumberFormat="1" applyFont="1" applyBorder="1" applyAlignment="1">
      <alignment horizontal="center" vertical="center"/>
    </xf>
    <xf numFmtId="4" fontId="19" fillId="11" borderId="7" xfId="0" applyNumberFormat="1" applyFont="1" applyFill="1" applyBorder="1" applyAlignment="1">
      <alignment vertical="center"/>
    </xf>
    <xf numFmtId="4" fontId="19" fillId="11" borderId="7" xfId="0" applyNumberFormat="1" applyFont="1" applyFill="1" applyBorder="1" applyAlignment="1"/>
    <xf numFmtId="4" fontId="19" fillId="0" borderId="0" xfId="0" applyNumberFormat="1" applyFont="1" applyAlignment="1"/>
    <xf numFmtId="4" fontId="19" fillId="9" borderId="7" xfId="0" applyNumberFormat="1" applyFont="1" applyFill="1" applyBorder="1" applyAlignment="1"/>
    <xf numFmtId="4" fontId="19" fillId="0" borderId="0" xfId="0" applyNumberFormat="1" applyFont="1"/>
    <xf numFmtId="0" fontId="19" fillId="0" borderId="0" xfId="0" applyFont="1"/>
    <xf numFmtId="4" fontId="19" fillId="11" borderId="7" xfId="0" applyNumberFormat="1" applyFont="1" applyFill="1" applyBorder="1" applyAlignment="1">
      <alignment horizontal="right"/>
    </xf>
    <xf numFmtId="4" fontId="19" fillId="9" borderId="13" xfId="0" applyNumberFormat="1" applyFont="1" applyFill="1" applyBorder="1" applyAlignment="1"/>
    <xf numFmtId="1" fontId="16" fillId="9" borderId="7" xfId="0" applyNumberFormat="1" applyFont="1" applyFill="1" applyBorder="1" applyAlignment="1">
      <alignment horizontal="right"/>
    </xf>
    <xf numFmtId="4" fontId="16" fillId="9" borderId="7" xfId="0" applyNumberFormat="1" applyFont="1" applyFill="1" applyBorder="1" applyAlignment="1">
      <alignment wrapText="1"/>
    </xf>
    <xf numFmtId="4" fontId="14" fillId="9" borderId="7" xfId="0" applyNumberFormat="1" applyFont="1" applyFill="1" applyBorder="1" applyAlignment="1">
      <alignment horizontal="right"/>
    </xf>
    <xf numFmtId="167" fontId="14" fillId="9" borderId="7" xfId="10" applyFont="1" applyFill="1" applyBorder="1" applyAlignment="1"/>
    <xf numFmtId="167" fontId="14" fillId="0" borderId="7" xfId="10" applyFont="1" applyFill="1" applyBorder="1" applyAlignment="1">
      <alignment horizontal="right" vertical="top"/>
    </xf>
    <xf numFmtId="167" fontId="14" fillId="9" borderId="7" xfId="10" applyFont="1" applyFill="1" applyBorder="1" applyAlignment="1">
      <alignment vertical="top"/>
    </xf>
    <xf numFmtId="4" fontId="19" fillId="0" borderId="0" xfId="0" applyNumberFormat="1" applyFont="1" applyFill="1" applyAlignment="1"/>
    <xf numFmtId="4" fontId="14" fillId="0" borderId="0" xfId="0" applyNumberFormat="1" applyFont="1" applyFill="1"/>
    <xf numFmtId="2" fontId="14" fillId="0" borderId="0" xfId="0" applyNumberFormat="1" applyFont="1" applyFill="1"/>
    <xf numFmtId="4" fontId="19" fillId="0" borderId="0" xfId="0" applyNumberFormat="1" applyFont="1" applyFill="1"/>
    <xf numFmtId="0" fontId="19" fillId="0" borderId="0" xfId="0" applyFont="1" applyFill="1"/>
    <xf numFmtId="4" fontId="14" fillId="0" borderId="7" xfId="0" applyNumberFormat="1" applyFont="1" applyFill="1" applyBorder="1" applyAlignment="1"/>
    <xf numFmtId="4" fontId="14" fillId="9" borderId="7" xfId="0" applyNumberFormat="1" applyFont="1" applyFill="1" applyBorder="1" applyAlignment="1"/>
    <xf numFmtId="4" fontId="19" fillId="0" borderId="7" xfId="0" applyNumberFormat="1" applyFont="1" applyBorder="1" applyAlignment="1"/>
    <xf numFmtId="4" fontId="19" fillId="10" borderId="0" xfId="0" applyNumberFormat="1" applyFont="1" applyFill="1" applyAlignment="1"/>
    <xf numFmtId="4" fontId="19" fillId="0" borderId="7" xfId="0" applyNumberFormat="1" applyFont="1" applyBorder="1" applyAlignment="1">
      <alignment horizontal="right"/>
    </xf>
    <xf numFmtId="4" fontId="20" fillId="0" borderId="7" xfId="0" applyNumberFormat="1" applyFont="1" applyBorder="1" applyAlignment="1">
      <alignment vertical="center"/>
    </xf>
    <xf numFmtId="4" fontId="20" fillId="0" borderId="7" xfId="0" applyNumberFormat="1" applyFont="1" applyBorder="1" applyAlignment="1">
      <alignment wrapText="1"/>
    </xf>
    <xf numFmtId="4" fontId="19" fillId="0" borderId="7" xfId="0" applyNumberFormat="1" applyFont="1" applyBorder="1" applyAlignment="1">
      <alignment vertical="center"/>
    </xf>
    <xf numFmtId="4" fontId="14" fillId="0" borderId="7" xfId="0" applyNumberFormat="1" applyFont="1" applyBorder="1" applyAlignment="1">
      <alignment vertical="center"/>
    </xf>
    <xf numFmtId="4" fontId="14" fillId="0" borderId="0" xfId="0" applyNumberFormat="1" applyFont="1" applyFill="1" applyAlignment="1"/>
    <xf numFmtId="0" fontId="14" fillId="0" borderId="0" xfId="0" applyFont="1" applyFill="1"/>
    <xf numFmtId="4" fontId="14" fillId="0" borderId="13" xfId="0" applyNumberFormat="1" applyFont="1" applyFill="1" applyBorder="1" applyAlignment="1"/>
    <xf numFmtId="0" fontId="14" fillId="9" borderId="7" xfId="0" applyFont="1" applyFill="1" applyBorder="1" applyAlignment="1">
      <alignment horizontal="right"/>
    </xf>
    <xf numFmtId="0" fontId="14" fillId="0" borderId="7" xfId="0" applyFont="1" applyFill="1" applyBorder="1"/>
    <xf numFmtId="4" fontId="14" fillId="9" borderId="14" xfId="0" applyNumberFormat="1" applyFont="1" applyFill="1" applyBorder="1" applyAlignment="1"/>
    <xf numFmtId="0" fontId="21" fillId="0" borderId="0" xfId="0" applyFont="1"/>
    <xf numFmtId="4" fontId="14" fillId="0" borderId="15" xfId="0" applyNumberFormat="1" applyFont="1" applyFill="1" applyBorder="1" applyAlignment="1"/>
    <xf numFmtId="4" fontId="14" fillId="12" borderId="0" xfId="0" applyNumberFormat="1" applyFont="1" applyFill="1" applyAlignment="1"/>
    <xf numFmtId="0" fontId="16" fillId="9" borderId="7" xfId="0" applyFont="1" applyFill="1" applyBorder="1" applyAlignment="1">
      <alignment wrapText="1"/>
    </xf>
    <xf numFmtId="4" fontId="0" fillId="0" borderId="0" xfId="0" applyNumberFormat="1" applyFill="1"/>
    <xf numFmtId="0" fontId="0" fillId="0" borderId="0" xfId="0" applyFill="1"/>
    <xf numFmtId="4" fontId="22" fillId="0" borderId="0" xfId="0" applyNumberFormat="1" applyFont="1" applyAlignment="1"/>
    <xf numFmtId="4" fontId="23" fillId="0" borderId="0" xfId="0" applyNumberFormat="1" applyFont="1"/>
    <xf numFmtId="2" fontId="23" fillId="0" borderId="0" xfId="0" applyNumberFormat="1" applyFont="1"/>
    <xf numFmtId="4" fontId="22" fillId="0" borderId="0" xfId="0" applyNumberFormat="1" applyFont="1"/>
    <xf numFmtId="0" fontId="22" fillId="0" borderId="0" xfId="0" applyFont="1"/>
    <xf numFmtId="4" fontId="20" fillId="0" borderId="7" xfId="0" applyNumberFormat="1" applyFont="1" applyBorder="1" applyAlignment="1">
      <alignment horizontal="right"/>
    </xf>
    <xf numFmtId="4" fontId="14" fillId="0" borderId="7" xfId="0" applyNumberFormat="1" applyFont="1" applyBorder="1" applyAlignment="1"/>
    <xf numFmtId="4" fontId="19" fillId="0" borderId="7" xfId="0" applyNumberFormat="1" applyFont="1" applyFill="1" applyBorder="1" applyAlignment="1">
      <alignment horizontal="right"/>
    </xf>
    <xf numFmtId="4" fontId="20" fillId="0" borderId="7" xfId="0" applyNumberFormat="1" applyFont="1" applyFill="1" applyBorder="1" applyAlignment="1">
      <alignment horizontal="right"/>
    </xf>
    <xf numFmtId="4" fontId="20" fillId="0" borderId="7" xfId="0" applyNumberFormat="1" applyFont="1" applyFill="1" applyBorder="1" applyAlignment="1">
      <alignment wrapText="1"/>
    </xf>
    <xf numFmtId="4" fontId="19" fillId="0" borderId="7" xfId="0" applyNumberFormat="1" applyFont="1" applyFill="1" applyBorder="1" applyAlignment="1">
      <alignment vertical="center"/>
    </xf>
    <xf numFmtId="4" fontId="14" fillId="0" borderId="7" xfId="0" applyNumberFormat="1" applyFont="1" applyFill="1" applyBorder="1" applyAlignment="1">
      <alignment vertical="center"/>
    </xf>
    <xf numFmtId="4" fontId="0" fillId="9" borderId="7" xfId="0" applyNumberFormat="1" applyFill="1" applyBorder="1" applyAlignment="1">
      <alignment horizontal="right"/>
    </xf>
    <xf numFmtId="0" fontId="16" fillId="9" borderId="7" xfId="0" applyFont="1" applyFill="1" applyBorder="1" applyAlignment="1">
      <alignment horizontal="right" wrapText="1"/>
    </xf>
    <xf numFmtId="4" fontId="24" fillId="9" borderId="0" xfId="0" applyNumberFormat="1" applyFont="1" applyFill="1" applyAlignment="1"/>
    <xf numFmtId="4" fontId="14" fillId="9" borderId="0" xfId="0" applyNumberFormat="1" applyFont="1" applyFill="1"/>
    <xf numFmtId="2" fontId="14" fillId="9" borderId="0" xfId="0" applyNumberFormat="1" applyFont="1" applyFill="1"/>
    <xf numFmtId="4" fontId="19" fillId="9" borderId="0" xfId="0" applyNumberFormat="1" applyFont="1" applyFill="1"/>
    <xf numFmtId="4" fontId="0" fillId="9" borderId="0" xfId="0" applyNumberFormat="1" applyFill="1"/>
    <xf numFmtId="0" fontId="19" fillId="9" borderId="0" xfId="0" applyFont="1" applyFill="1"/>
    <xf numFmtId="4" fontId="24" fillId="0" borderId="0" xfId="0" applyNumberFormat="1" applyFont="1" applyFill="1" applyAlignment="1"/>
    <xf numFmtId="4" fontId="0" fillId="0" borderId="7" xfId="0" applyNumberFormat="1" applyFill="1" applyBorder="1" applyAlignment="1">
      <alignment horizontal="right"/>
    </xf>
    <xf numFmtId="4" fontId="16" fillId="0" borderId="7" xfId="0" applyNumberFormat="1" applyFont="1" applyFill="1" applyBorder="1" applyAlignment="1">
      <alignment horizontal="right"/>
    </xf>
    <xf numFmtId="4" fontId="16" fillId="0" borderId="7" xfId="0" applyNumberFormat="1" applyFont="1" applyFill="1" applyBorder="1" applyAlignment="1">
      <alignment wrapText="1"/>
    </xf>
    <xf numFmtId="4" fontId="19" fillId="0" borderId="7" xfId="0" applyNumberFormat="1" applyFont="1" applyFill="1" applyBorder="1" applyAlignment="1"/>
    <xf numFmtId="4" fontId="24" fillId="0" borderId="0" xfId="0" applyNumberFormat="1" applyFont="1" applyFill="1"/>
    <xf numFmtId="4" fontId="16" fillId="9" borderId="7" xfId="0" applyNumberFormat="1" applyFont="1" applyFill="1" applyBorder="1" applyAlignment="1">
      <alignment horizontal="right"/>
    </xf>
    <xf numFmtId="4" fontId="14" fillId="0" borderId="7" xfId="0" applyNumberFormat="1" applyFont="1" applyFill="1" applyBorder="1"/>
    <xf numFmtId="4" fontId="19" fillId="11" borderId="7" xfId="0" applyNumberFormat="1" applyFont="1" applyFill="1" applyBorder="1" applyAlignment="1">
      <alignment horizontal="left"/>
    </xf>
    <xf numFmtId="0" fontId="19" fillId="9" borderId="7" xfId="0" applyFont="1" applyFill="1" applyBorder="1"/>
    <xf numFmtId="4" fontId="22" fillId="0" borderId="7" xfId="0" applyNumberFormat="1" applyFont="1" applyFill="1" applyBorder="1" applyAlignment="1">
      <alignment horizontal="right"/>
    </xf>
    <xf numFmtId="4" fontId="25" fillId="0" borderId="7" xfId="0" applyNumberFormat="1" applyFont="1" applyFill="1" applyBorder="1" applyAlignment="1">
      <alignment horizontal="right"/>
    </xf>
    <xf numFmtId="2" fontId="14" fillId="0" borderId="7" xfId="0" applyNumberFormat="1" applyFont="1" applyFill="1" applyBorder="1"/>
    <xf numFmtId="4" fontId="19" fillId="9" borderId="7" xfId="0" applyNumberFormat="1" applyFont="1" applyFill="1" applyBorder="1" applyAlignment="1">
      <alignment vertical="center"/>
    </xf>
    <xf numFmtId="4" fontId="16" fillId="9" borderId="7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3" fillId="0" borderId="0" xfId="0" applyNumberFormat="1" applyFont="1" applyFill="1"/>
    <xf numFmtId="2" fontId="23" fillId="0" borderId="0" xfId="0" applyNumberFormat="1" applyFont="1" applyFill="1"/>
    <xf numFmtId="4" fontId="22" fillId="0" borderId="0" xfId="0" applyNumberFormat="1" applyFont="1" applyFill="1"/>
    <xf numFmtId="0" fontId="22" fillId="0" borderId="0" xfId="0" applyFont="1" applyFill="1"/>
    <xf numFmtId="4" fontId="14" fillId="9" borderId="7" xfId="0" applyNumberFormat="1" applyFont="1" applyFill="1" applyBorder="1" applyAlignment="1">
      <alignment horizontal="center"/>
    </xf>
    <xf numFmtId="4" fontId="19" fillId="9" borderId="7" xfId="0" applyNumberFormat="1" applyFont="1" applyFill="1" applyBorder="1" applyAlignment="1">
      <alignment horizontal="right"/>
    </xf>
    <xf numFmtId="2" fontId="19" fillId="0" borderId="0" xfId="0" applyNumberFormat="1" applyFont="1"/>
    <xf numFmtId="2" fontId="19" fillId="0" borderId="0" xfId="0" applyNumberFormat="1" applyFont="1" applyFill="1"/>
    <xf numFmtId="0" fontId="16" fillId="9" borderId="7" xfId="0" applyFont="1" applyFill="1" applyBorder="1"/>
    <xf numFmtId="1" fontId="27" fillId="9" borderId="7" xfId="0" applyNumberFormat="1" applyFont="1" applyFill="1" applyBorder="1" applyAlignment="1">
      <alignment horizontal="right"/>
    </xf>
    <xf numFmtId="0" fontId="16" fillId="9" borderId="7" xfId="0" applyFont="1" applyFill="1" applyBorder="1" applyAlignment="1">
      <alignment vertical="top" wrapText="1"/>
    </xf>
    <xf numFmtId="4" fontId="20" fillId="9" borderId="7" xfId="0" applyNumberFormat="1" applyFont="1" applyFill="1" applyBorder="1" applyAlignment="1">
      <alignment horizontal="right"/>
    </xf>
    <xf numFmtId="0" fontId="0" fillId="9" borderId="0" xfId="0" applyFill="1"/>
    <xf numFmtId="0" fontId="16" fillId="9" borderId="7" xfId="0" applyFont="1" applyFill="1" applyBorder="1" applyAlignment="1">
      <alignment horizontal="left" vertical="center" wrapText="1"/>
    </xf>
    <xf numFmtId="4" fontId="14" fillId="0" borderId="0" xfId="0" applyNumberFormat="1" applyFont="1" applyFill="1" applyAlignment="1">
      <alignment wrapText="1"/>
    </xf>
    <xf numFmtId="0" fontId="28" fillId="0" borderId="0" xfId="0" applyFont="1"/>
    <xf numFmtId="0" fontId="23" fillId="0" borderId="0" xfId="0" applyFont="1" applyFill="1"/>
    <xf numFmtId="4" fontId="14" fillId="0" borderId="7" xfId="0" applyNumberFormat="1" applyFont="1" applyBorder="1" applyAlignment="1">
      <alignment horizontal="right"/>
    </xf>
    <xf numFmtId="4" fontId="14" fillId="0" borderId="0" xfId="0" applyNumberFormat="1" applyFont="1" applyFill="1" applyAlignment="1" applyProtection="1">
      <alignment horizontal="right" vertical="top"/>
    </xf>
    <xf numFmtId="0" fontId="16" fillId="12" borderId="13" xfId="0" applyFont="1" applyFill="1" applyBorder="1" applyAlignment="1">
      <alignment horizontal="right" wrapText="1"/>
    </xf>
    <xf numFmtId="0" fontId="16" fillId="12" borderId="13" xfId="0" applyFont="1" applyFill="1" applyBorder="1" applyAlignment="1">
      <alignment wrapText="1"/>
    </xf>
    <xf numFmtId="4" fontId="14" fillId="12" borderId="7" xfId="0" applyNumberFormat="1" applyFont="1" applyFill="1" applyBorder="1" applyAlignment="1">
      <alignment horizontal="center"/>
    </xf>
    <xf numFmtId="4" fontId="14" fillId="12" borderId="15" xfId="0" applyNumberFormat="1" applyFont="1" applyFill="1" applyBorder="1" applyAlignment="1">
      <alignment horizontal="right"/>
    </xf>
    <xf numFmtId="4" fontId="14" fillId="12" borderId="7" xfId="0" applyNumberFormat="1" applyFont="1" applyFill="1" applyBorder="1" applyAlignment="1"/>
    <xf numFmtId="4" fontId="14" fillId="12" borderId="7" xfId="0" applyNumberFormat="1" applyFont="1" applyFill="1" applyBorder="1" applyAlignment="1">
      <alignment horizontal="right"/>
    </xf>
    <xf numFmtId="4" fontId="14" fillId="12" borderId="16" xfId="0" applyNumberFormat="1" applyFont="1" applyFill="1" applyBorder="1" applyAlignment="1">
      <alignment horizontal="right"/>
    </xf>
    <xf numFmtId="0" fontId="16" fillId="12" borderId="7" xfId="0" applyFont="1" applyFill="1" applyBorder="1" applyAlignment="1">
      <alignment horizontal="right" wrapText="1"/>
    </xf>
    <xf numFmtId="0" fontId="16" fillId="12" borderId="7" xfId="0" applyFont="1" applyFill="1" applyBorder="1" applyAlignment="1">
      <alignment wrapText="1"/>
    </xf>
    <xf numFmtId="4" fontId="14" fillId="12" borderId="4" xfId="0" applyNumberFormat="1" applyFont="1" applyFill="1" applyBorder="1" applyAlignment="1">
      <alignment horizontal="center"/>
    </xf>
    <xf numFmtId="0" fontId="16" fillId="12" borderId="0" xfId="0" applyFont="1" applyFill="1" applyAlignment="1">
      <alignment horizontal="right" wrapText="1"/>
    </xf>
    <xf numFmtId="0" fontId="16" fillId="12" borderId="0" xfId="0" applyFont="1" applyFill="1" applyAlignment="1">
      <alignment wrapText="1"/>
    </xf>
    <xf numFmtId="4" fontId="14" fillId="12" borderId="0" xfId="0" applyNumberFormat="1" applyFont="1" applyFill="1" applyAlignment="1">
      <alignment horizontal="center"/>
    </xf>
    <xf numFmtId="4" fontId="14" fillId="12" borderId="0" xfId="0" applyNumberFormat="1" applyFont="1" applyFill="1" applyAlignment="1">
      <alignment horizontal="right"/>
    </xf>
    <xf numFmtId="4" fontId="22" fillId="0" borderId="0" xfId="0" applyNumberFormat="1" applyFont="1" applyFill="1" applyAlignment="1"/>
    <xf numFmtId="4" fontId="23" fillId="0" borderId="0" xfId="0" applyNumberFormat="1" applyFont="1" applyFill="1" applyAlignment="1" applyProtection="1">
      <alignment horizontal="right" vertical="top"/>
    </xf>
    <xf numFmtId="4" fontId="16" fillId="0" borderId="7" xfId="0" applyNumberFormat="1" applyFont="1" applyFill="1" applyBorder="1"/>
    <xf numFmtId="4" fontId="14" fillId="9" borderId="0" xfId="0" applyNumberFormat="1" applyFont="1" applyFill="1" applyAlignment="1" applyProtection="1">
      <alignment horizontal="right" vertical="top"/>
    </xf>
    <xf numFmtId="4" fontId="14" fillId="9" borderId="7" xfId="0" applyNumberFormat="1" applyFont="1" applyFill="1" applyBorder="1" applyAlignment="1">
      <alignment vertical="center"/>
    </xf>
    <xf numFmtId="0" fontId="16" fillId="0" borderId="7" xfId="0" applyFont="1" applyFill="1" applyBorder="1" applyAlignment="1">
      <alignment wrapText="1"/>
    </xf>
    <xf numFmtId="4" fontId="16" fillId="0" borderId="7" xfId="0" applyNumberFormat="1" applyFont="1" applyFill="1" applyBorder="1" applyAlignment="1">
      <alignment vertical="center"/>
    </xf>
    <xf numFmtId="4" fontId="22" fillId="0" borderId="0" xfId="0" applyNumberFormat="1" applyFont="1" applyFill="1" applyAlignment="1" applyProtection="1">
      <alignment horizontal="right" vertical="top"/>
    </xf>
    <xf numFmtId="2" fontId="22" fillId="0" borderId="0" xfId="0" applyNumberFormat="1" applyFont="1" applyFill="1"/>
    <xf numFmtId="0" fontId="0" fillId="0" borderId="0" xfId="0" applyAlignment="1">
      <alignment vertical="center"/>
    </xf>
    <xf numFmtId="4" fontId="14" fillId="9" borderId="15" xfId="0" applyNumberFormat="1" applyFont="1" applyFill="1" applyBorder="1" applyAlignment="1"/>
    <xf numFmtId="4" fontId="18" fillId="0" borderId="0" xfId="0" applyNumberFormat="1" applyFont="1" applyAlignment="1">
      <alignment horizontal="left" wrapText="1"/>
    </xf>
    <xf numFmtId="4" fontId="18" fillId="9" borderId="0" xfId="0" applyNumberFormat="1" applyFont="1" applyFill="1" applyAlignment="1">
      <alignment horizontal="left" wrapText="1"/>
    </xf>
    <xf numFmtId="164" fontId="14" fillId="0" borderId="0" xfId="2" applyFont="1" applyAlignment="1">
      <alignment vertical="center"/>
    </xf>
    <xf numFmtId="4" fontId="18" fillId="0" borderId="8" xfId="0" applyNumberFormat="1" applyFont="1" applyFill="1" applyBorder="1" applyAlignment="1">
      <alignment horizontal="center" vertical="top"/>
    </xf>
    <xf numFmtId="0" fontId="0" fillId="0" borderId="9" xfId="0" applyFill="1" applyBorder="1"/>
    <xf numFmtId="4" fontId="19" fillId="0" borderId="5" xfId="0" applyNumberFormat="1" applyFont="1" applyFill="1" applyBorder="1" applyAlignment="1">
      <alignment horizontal="left" vertical="center"/>
    </xf>
    <xf numFmtId="4" fontId="14" fillId="0" borderId="6" xfId="0" applyNumberFormat="1" applyFont="1" applyFill="1" applyBorder="1" applyAlignment="1">
      <alignment horizontal="center" vertical="center"/>
    </xf>
    <xf numFmtId="0" fontId="0" fillId="0" borderId="6" xfId="0" applyFill="1" applyBorder="1"/>
    <xf numFmtId="4" fontId="14" fillId="0" borderId="12" xfId="0" applyNumberFormat="1" applyFont="1" applyFill="1" applyBorder="1" applyAlignment="1">
      <alignment horizontal="center" vertical="center"/>
    </xf>
    <xf numFmtId="4" fontId="18" fillId="0" borderId="7" xfId="0" applyNumberFormat="1" applyFont="1" applyFill="1" applyBorder="1" applyAlignment="1">
      <alignment horizontal="left" wrapText="1"/>
    </xf>
    <xf numFmtId="4" fontId="14" fillId="0" borderId="2" xfId="0" applyNumberFormat="1" applyFont="1" applyBorder="1"/>
    <xf numFmtId="4" fontId="14" fillId="0" borderId="3" xfId="0" applyNumberFormat="1" applyFont="1" applyBorder="1"/>
    <xf numFmtId="4" fontId="14" fillId="0" borderId="3" xfId="0" applyNumberFormat="1" applyFont="1" applyFill="1" applyBorder="1"/>
    <xf numFmtId="10" fontId="26" fillId="0" borderId="3" xfId="0" applyNumberFormat="1" applyFont="1" applyFill="1" applyBorder="1"/>
    <xf numFmtId="4" fontId="26" fillId="0" borderId="3" xfId="0" applyNumberFormat="1" applyFont="1" applyBorder="1"/>
    <xf numFmtId="4" fontId="0" fillId="0" borderId="4" xfId="0" applyNumberFormat="1" applyBorder="1"/>
    <xf numFmtId="0" fontId="26" fillId="0" borderId="0" xfId="0" applyFont="1"/>
    <xf numFmtId="10" fontId="0" fillId="0" borderId="0" xfId="0" applyNumberFormat="1"/>
    <xf numFmtId="4" fontId="14" fillId="0" borderId="5" xfId="0" applyNumberFormat="1" applyFont="1" applyBorder="1"/>
    <xf numFmtId="10" fontId="26" fillId="0" borderId="0" xfId="0" applyNumberFormat="1" applyFont="1" applyFill="1"/>
    <xf numFmtId="4" fontId="26" fillId="0" borderId="0" xfId="0" applyNumberFormat="1" applyFont="1"/>
    <xf numFmtId="4" fontId="0" fillId="0" borderId="6" xfId="0" applyNumberFormat="1" applyBorder="1"/>
    <xf numFmtId="4" fontId="14" fillId="0" borderId="5" xfId="0" applyNumberFormat="1" applyFont="1" applyBorder="1" applyAlignment="1">
      <alignment horizontal="center"/>
    </xf>
    <xf numFmtId="4" fontId="14" fillId="0" borderId="0" xfId="0" applyNumberFormat="1" applyFont="1" applyFill="1" applyAlignment="1">
      <alignment horizontal="center"/>
    </xf>
    <xf numFmtId="10" fontId="14" fillId="0" borderId="0" xfId="0" applyNumberFormat="1" applyFont="1" applyFill="1"/>
    <xf numFmtId="4" fontId="18" fillId="0" borderId="0" xfId="0" applyNumberFormat="1" applyFont="1" applyAlignment="1">
      <alignment horizontal="center"/>
    </xf>
    <xf numFmtId="10" fontId="18" fillId="0" borderId="0" xfId="0" applyNumberFormat="1" applyFont="1" applyAlignment="1">
      <alignment horizontal="center"/>
    </xf>
    <xf numFmtId="0" fontId="0" fillId="0" borderId="5" xfId="0" applyBorder="1"/>
    <xf numFmtId="4" fontId="21" fillId="0" borderId="0" xfId="0" applyNumberFormat="1" applyFont="1" applyAlignment="1"/>
    <xf numFmtId="4" fontId="21" fillId="0" borderId="0" xfId="0" applyNumberFormat="1" applyFont="1"/>
    <xf numFmtId="4" fontId="21" fillId="0" borderId="0" xfId="0" applyNumberFormat="1" applyFont="1" applyFill="1"/>
    <xf numFmtId="10" fontId="21" fillId="0" borderId="0" xfId="0" applyNumberFormat="1" applyFont="1" applyFill="1"/>
    <xf numFmtId="9" fontId="0" fillId="0" borderId="0" xfId="0" applyNumberFormat="1"/>
    <xf numFmtId="4" fontId="26" fillId="0" borderId="10" xfId="0" applyNumberFormat="1" applyFont="1" applyBorder="1"/>
    <xf numFmtId="4" fontId="26" fillId="0" borderId="11" xfId="0" applyNumberFormat="1" applyFont="1" applyBorder="1"/>
    <xf numFmtId="4" fontId="14" fillId="0" borderId="11" xfId="0" applyNumberFormat="1" applyFont="1" applyFill="1" applyBorder="1"/>
    <xf numFmtId="10" fontId="14" fillId="0" borderId="11" xfId="0" applyNumberFormat="1" applyFont="1" applyFill="1" applyBorder="1"/>
    <xf numFmtId="4" fontId="14" fillId="0" borderId="11" xfId="0" applyNumberFormat="1" applyFont="1" applyBorder="1"/>
    <xf numFmtId="4" fontId="0" fillId="0" borderId="12" xfId="0" applyNumberFormat="1" applyBorder="1"/>
    <xf numFmtId="10" fontId="30" fillId="11" borderId="10" xfId="0" applyNumberFormat="1" applyFont="1" applyFill="1" applyBorder="1"/>
    <xf numFmtId="0" fontId="30" fillId="0" borderId="0" xfId="0" applyFont="1"/>
    <xf numFmtId="10" fontId="30" fillId="0" borderId="0" xfId="0" applyNumberFormat="1" applyFont="1"/>
    <xf numFmtId="10" fontId="30" fillId="11" borderId="20" xfId="0" applyNumberFormat="1" applyFont="1" applyFill="1" applyBorder="1"/>
    <xf numFmtId="9" fontId="30" fillId="11" borderId="18" xfId="0" applyNumberFormat="1" applyFont="1" applyFill="1" applyBorder="1" applyAlignment="1">
      <alignment horizontal="center"/>
    </xf>
    <xf numFmtId="4" fontId="30" fillId="11" borderId="18" xfId="0" applyNumberFormat="1" applyFont="1" applyFill="1" applyBorder="1" applyAlignment="1">
      <alignment horizontal="center"/>
    </xf>
    <xf numFmtId="10" fontId="30" fillId="11" borderId="18" xfId="0" applyNumberFormat="1" applyFont="1" applyFill="1" applyBorder="1" applyAlignment="1">
      <alignment horizontal="center"/>
    </xf>
    <xf numFmtId="4" fontId="30" fillId="11" borderId="20" xfId="0" applyNumberFormat="1" applyFont="1" applyFill="1" applyBorder="1" applyAlignment="1">
      <alignment horizontal="center"/>
    </xf>
    <xf numFmtId="10" fontId="30" fillId="11" borderId="20" xfId="0" applyNumberFormat="1" applyFont="1" applyFill="1" applyBorder="1" applyAlignment="1">
      <alignment horizontal="center"/>
    </xf>
    <xf numFmtId="0" fontId="31" fillId="0" borderId="21" xfId="0" applyFont="1" applyBorder="1" applyAlignment="1">
      <alignment horizontal="center"/>
    </xf>
    <xf numFmtId="0" fontId="31" fillId="0" borderId="0" xfId="0" applyFont="1" applyAlignment="1">
      <alignment horizontal="center"/>
    </xf>
    <xf numFmtId="10" fontId="31" fillId="0" borderId="0" xfId="0" applyNumberFormat="1" applyFont="1"/>
    <xf numFmtId="4" fontId="31" fillId="0" borderId="15" xfId="0" applyNumberFormat="1" applyFont="1" applyBorder="1" applyAlignment="1">
      <alignment horizontal="center"/>
    </xf>
    <xf numFmtId="9" fontId="31" fillId="0" borderId="0" xfId="0" applyNumberFormat="1" applyFont="1" applyFill="1"/>
    <xf numFmtId="4" fontId="31" fillId="0" borderId="0" xfId="0" applyNumberFormat="1" applyFont="1"/>
    <xf numFmtId="10" fontId="31" fillId="0" borderId="0" xfId="0" applyNumberFormat="1" applyFont="1" applyFill="1"/>
    <xf numFmtId="4" fontId="31" fillId="0" borderId="16" xfId="0" applyNumberFormat="1" applyFont="1" applyBorder="1"/>
    <xf numFmtId="0" fontId="31" fillId="0" borderId="0" xfId="0" applyFont="1"/>
    <xf numFmtId="0" fontId="14" fillId="0" borderId="0" xfId="0" applyFont="1"/>
    <xf numFmtId="4" fontId="31" fillId="0" borderId="22" xfId="0" applyNumberFormat="1" applyFont="1" applyBorder="1"/>
    <xf numFmtId="4" fontId="31" fillId="0" borderId="7" xfId="0" applyNumberFormat="1" applyFont="1" applyBorder="1"/>
    <xf numFmtId="10" fontId="31" fillId="0" borderId="7" xfId="0" applyNumberFormat="1" applyFont="1" applyBorder="1"/>
    <xf numFmtId="9" fontId="31" fillId="0" borderId="7" xfId="0" applyNumberFormat="1" applyFont="1" applyFill="1" applyBorder="1"/>
    <xf numFmtId="4" fontId="31" fillId="0" borderId="7" xfId="0" applyNumberFormat="1" applyFont="1" applyFill="1" applyBorder="1"/>
    <xf numFmtId="10" fontId="31" fillId="0" borderId="7" xfId="0" applyNumberFormat="1" applyFont="1" applyFill="1" applyBorder="1"/>
    <xf numFmtId="4" fontId="31" fillId="0" borderId="23" xfId="0" applyNumberFormat="1" applyFont="1" applyBorder="1"/>
    <xf numFmtId="4" fontId="19" fillId="9" borderId="24" xfId="0" applyNumberFormat="1" applyFont="1" applyFill="1" applyBorder="1" applyAlignment="1">
      <alignment horizontal="right"/>
    </xf>
    <xf numFmtId="9" fontId="31" fillId="3" borderId="7" xfId="0" applyNumberFormat="1" applyFont="1" applyFill="1" applyBorder="1"/>
    <xf numFmtId="4" fontId="31" fillId="3" borderId="7" xfId="0" applyNumberFormat="1" applyFont="1" applyFill="1" applyBorder="1"/>
    <xf numFmtId="10" fontId="31" fillId="3" borderId="7" xfId="0" applyNumberFormat="1" applyFont="1" applyFill="1" applyBorder="1"/>
    <xf numFmtId="0" fontId="31" fillId="0" borderId="22" xfId="0" applyFont="1" applyBorder="1"/>
    <xf numFmtId="4" fontId="31" fillId="9" borderId="7" xfId="0" applyNumberFormat="1" applyFont="1" applyFill="1" applyBorder="1"/>
    <xf numFmtId="9" fontId="31" fillId="9" borderId="7" xfId="0" applyNumberFormat="1" applyFont="1" applyFill="1" applyBorder="1"/>
    <xf numFmtId="10" fontId="31" fillId="9" borderId="7" xfId="0" applyNumberFormat="1" applyFont="1" applyFill="1" applyBorder="1"/>
    <xf numFmtId="165" fontId="31" fillId="0" borderId="23" xfId="0" applyNumberFormat="1" applyFont="1" applyBorder="1"/>
    <xf numFmtId="4" fontId="30" fillId="3" borderId="7" xfId="0" applyNumberFormat="1" applyFont="1" applyFill="1" applyBorder="1"/>
    <xf numFmtId="9" fontId="30" fillId="3" borderId="7" xfId="0" applyNumberFormat="1" applyFont="1" applyFill="1" applyBorder="1"/>
    <xf numFmtId="0" fontId="31" fillId="0" borderId="22" xfId="0" applyFont="1" applyFill="1" applyBorder="1"/>
    <xf numFmtId="0" fontId="31" fillId="0" borderId="0" xfId="0" applyFont="1" applyFill="1"/>
    <xf numFmtId="4" fontId="31" fillId="0" borderId="7" xfId="0" applyNumberFormat="1" applyFont="1" applyBorder="1" applyAlignment="1">
      <alignment wrapText="1"/>
    </xf>
    <xf numFmtId="10" fontId="31" fillId="11" borderId="18" xfId="0" applyNumberFormat="1" applyFont="1" applyFill="1" applyBorder="1"/>
    <xf numFmtId="4" fontId="31" fillId="11" borderId="18" xfId="0" applyNumberFormat="1" applyFont="1" applyFill="1" applyBorder="1"/>
    <xf numFmtId="4" fontId="31" fillId="11" borderId="19" xfId="0" applyNumberFormat="1" applyFont="1" applyFill="1" applyBorder="1"/>
    <xf numFmtId="10" fontId="0" fillId="0" borderId="0" xfId="0" applyNumberFormat="1" applyFill="1"/>
    <xf numFmtId="9" fontId="0" fillId="0" borderId="0" xfId="0" applyNumberFormat="1" applyFill="1"/>
    <xf numFmtId="4" fontId="29" fillId="0" borderId="8" xfId="0" applyNumberFormat="1" applyFont="1" applyFill="1" applyBorder="1" applyAlignment="1">
      <alignment horizontal="center"/>
    </xf>
    <xf numFmtId="0" fontId="30" fillId="11" borderId="17" xfId="0" applyFont="1" applyFill="1" applyBorder="1" applyAlignment="1">
      <alignment horizontal="center"/>
    </xf>
    <xf numFmtId="0" fontId="30" fillId="11" borderId="18" xfId="0" applyFont="1" applyFill="1" applyBorder="1" applyAlignment="1">
      <alignment horizontal="center"/>
    </xf>
    <xf numFmtId="4" fontId="30" fillId="11" borderId="18" xfId="0" applyNumberFormat="1" applyFont="1" applyFill="1" applyBorder="1" applyAlignment="1">
      <alignment horizontal="center" wrapText="1"/>
    </xf>
    <xf numFmtId="0" fontId="30" fillId="11" borderId="7" xfId="0" applyFont="1" applyFill="1" applyBorder="1" applyAlignment="1">
      <alignment horizontal="center"/>
    </xf>
    <xf numFmtId="4" fontId="30" fillId="11" borderId="19" xfId="0" applyNumberFormat="1" applyFont="1" applyFill="1" applyBorder="1" applyAlignment="1">
      <alignment horizontal="center"/>
    </xf>
    <xf numFmtId="4" fontId="31" fillId="11" borderId="17" xfId="0" applyNumberFormat="1" applyFont="1" applyFill="1" applyBorder="1" applyAlignment="1">
      <alignment horizontal="left"/>
    </xf>
    <xf numFmtId="0" fontId="26" fillId="0" borderId="0" xfId="0" applyFont="1" applyFill="1" applyAlignment="1" applyProtection="1"/>
    <xf numFmtId="0" fontId="2" fillId="0" borderId="0" xfId="0" applyFont="1"/>
    <xf numFmtId="0" fontId="19" fillId="0" borderId="7" xfId="0" applyFont="1" applyFill="1" applyBorder="1" applyAlignment="1">
      <alignment horizontal="center"/>
    </xf>
    <xf numFmtId="0" fontId="14" fillId="13" borderId="7" xfId="0" applyFont="1" applyFill="1" applyBorder="1"/>
    <xf numFmtId="166" fontId="14" fillId="13" borderId="7" xfId="0" applyNumberFormat="1" applyFont="1" applyFill="1" applyBorder="1"/>
    <xf numFmtId="164" fontId="14" fillId="13" borderId="7" xfId="2" applyFont="1" applyFill="1" applyBorder="1"/>
    <xf numFmtId="0" fontId="19" fillId="0" borderId="7" xfId="0" applyFont="1" applyBorder="1"/>
    <xf numFmtId="49" fontId="14" fillId="0" borderId="7" xfId="0" applyNumberFormat="1" applyFont="1" applyBorder="1" applyAlignment="1">
      <alignment horizontal="center"/>
    </xf>
    <xf numFmtId="0" fontId="14" fillId="0" borderId="7" xfId="0" applyFont="1" applyBorder="1"/>
    <xf numFmtId="0" fontId="14" fillId="9" borderId="7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/>
    </xf>
    <xf numFmtId="166" fontId="14" fillId="0" borderId="7" xfId="0" applyNumberFormat="1" applyFont="1" applyBorder="1"/>
    <xf numFmtId="164" fontId="14" fillId="0" borderId="7" xfId="2" applyFont="1" applyBorder="1"/>
    <xf numFmtId="49" fontId="14" fillId="0" borderId="13" xfId="0" applyNumberFormat="1" applyFont="1" applyBorder="1" applyAlignment="1">
      <alignment horizontal="center"/>
    </xf>
    <xf numFmtId="0" fontId="14" fillId="0" borderId="13" xfId="0" applyFont="1" applyBorder="1"/>
    <xf numFmtId="0" fontId="14" fillId="9" borderId="13" xfId="0" applyFont="1" applyFill="1" applyBorder="1" applyAlignment="1">
      <alignment vertical="center" wrapText="1"/>
    </xf>
    <xf numFmtId="0" fontId="14" fillId="0" borderId="13" xfId="0" applyFont="1" applyBorder="1" applyAlignment="1">
      <alignment horizontal="center"/>
    </xf>
    <xf numFmtId="166" fontId="14" fillId="0" borderId="13" xfId="0" applyNumberFormat="1" applyFont="1" applyBorder="1"/>
    <xf numFmtId="164" fontId="14" fillId="0" borderId="13" xfId="2" applyFont="1" applyBorder="1"/>
    <xf numFmtId="164" fontId="19" fillId="0" borderId="7" xfId="2" applyFont="1" applyBorder="1"/>
    <xf numFmtId="0" fontId="14" fillId="9" borderId="7" xfId="0" applyFont="1" applyFill="1" applyBorder="1" applyAlignment="1">
      <alignment horizontal="center" vertical="top"/>
    </xf>
    <xf numFmtId="167" fontId="14" fillId="9" borderId="7" xfId="23" applyFont="1" applyFill="1" applyBorder="1" applyAlignment="1">
      <alignment vertical="top"/>
    </xf>
    <xf numFmtId="164" fontId="14" fillId="9" borderId="7" xfId="2" applyFont="1" applyFill="1" applyBorder="1" applyAlignment="1">
      <alignment vertical="top"/>
    </xf>
    <xf numFmtId="164" fontId="14" fillId="9" borderId="7" xfId="2" applyFont="1" applyFill="1" applyBorder="1" applyAlignment="1">
      <alignment horizontal="right"/>
    </xf>
    <xf numFmtId="2" fontId="14" fillId="0" borderId="0" xfId="0" applyNumberFormat="1" applyFont="1" applyAlignment="1">
      <alignment wrapText="1"/>
    </xf>
    <xf numFmtId="164" fontId="14" fillId="0" borderId="0" xfId="2" applyFont="1"/>
    <xf numFmtId="0" fontId="14" fillId="9" borderId="7" xfId="0" applyFont="1" applyFill="1" applyBorder="1" applyAlignment="1">
      <alignment horizontal="center" vertical="center" wrapText="1"/>
    </xf>
    <xf numFmtId="164" fontId="14" fillId="9" borderId="7" xfId="2" applyFont="1" applyFill="1" applyBorder="1" applyAlignment="1">
      <alignment vertical="center" wrapText="1"/>
    </xf>
    <xf numFmtId="0" fontId="14" fillId="9" borderId="0" xfId="0" applyFont="1" applyFill="1" applyAlignment="1">
      <alignment vertical="center" wrapText="1"/>
    </xf>
    <xf numFmtId="0" fontId="14" fillId="13" borderId="13" xfId="0" applyFont="1" applyFill="1" applyBorder="1" applyAlignment="1">
      <alignment wrapText="1"/>
    </xf>
    <xf numFmtId="0" fontId="14" fillId="13" borderId="13" xfId="0" applyFont="1" applyFill="1" applyBorder="1"/>
    <xf numFmtId="166" fontId="14" fillId="13" borderId="13" xfId="0" applyNumberFormat="1" applyFont="1" applyFill="1" applyBorder="1"/>
    <xf numFmtId="164" fontId="14" fillId="13" borderId="13" xfId="2" applyFont="1" applyFill="1" applyBorder="1"/>
    <xf numFmtId="0" fontId="14" fillId="9" borderId="7" xfId="0" applyFont="1" applyFill="1" applyBorder="1" applyAlignment="1">
      <alignment wrapText="1"/>
    </xf>
    <xf numFmtId="164" fontId="14" fillId="9" borderId="7" xfId="2" applyFont="1" applyFill="1" applyBorder="1" applyAlignment="1">
      <alignment horizontal="center"/>
    </xf>
    <xf numFmtId="0" fontId="14" fillId="9" borderId="7" xfId="0" applyFont="1" applyFill="1" applyBorder="1" applyAlignment="1">
      <alignment horizontal="center"/>
    </xf>
    <xf numFmtId="2" fontId="14" fillId="0" borderId="0" xfId="0" applyNumberFormat="1" applyFont="1" applyAlignment="1">
      <alignment horizontal="center"/>
    </xf>
    <xf numFmtId="0" fontId="26" fillId="0" borderId="7" xfId="0" applyFont="1" applyBorder="1"/>
    <xf numFmtId="0" fontId="14" fillId="9" borderId="7" xfId="0" applyFont="1" applyFill="1" applyBorder="1" applyAlignment="1"/>
    <xf numFmtId="2" fontId="14" fillId="9" borderId="7" xfId="0" applyNumberFormat="1" applyFont="1" applyFill="1" applyBorder="1" applyAlignment="1"/>
    <xf numFmtId="0" fontId="14" fillId="9" borderId="7" xfId="0" applyFont="1" applyFill="1" applyBorder="1"/>
    <xf numFmtId="164" fontId="19" fillId="9" borderId="7" xfId="2" applyFont="1" applyFill="1" applyBorder="1" applyAlignment="1"/>
    <xf numFmtId="0" fontId="2" fillId="9" borderId="0" xfId="0" applyFont="1" applyFill="1"/>
    <xf numFmtId="0" fontId="19" fillId="13" borderId="7" xfId="0" applyFont="1" applyFill="1" applyBorder="1" applyAlignment="1">
      <alignment wrapText="1"/>
    </xf>
    <xf numFmtId="0" fontId="19" fillId="13" borderId="7" xfId="0" applyFont="1" applyFill="1" applyBorder="1"/>
    <xf numFmtId="0" fontId="19" fillId="9" borderId="7" xfId="0" applyFont="1" applyFill="1" applyBorder="1" applyAlignment="1">
      <alignment vertical="center" wrapText="1"/>
    </xf>
    <xf numFmtId="0" fontId="19" fillId="9" borderId="7" xfId="0" applyFont="1" applyFill="1" applyBorder="1" applyAlignment="1">
      <alignment horizontal="center" vertical="center" wrapText="1"/>
    </xf>
    <xf numFmtId="167" fontId="19" fillId="9" borderId="15" xfId="24" applyFont="1" applyFill="1" applyBorder="1" applyAlignment="1">
      <alignment horizontal="center" vertical="center" wrapText="1"/>
    </xf>
    <xf numFmtId="168" fontId="19" fillId="9" borderId="7" xfId="17" applyFont="1" applyFill="1" applyBorder="1" applyAlignment="1">
      <alignment horizontal="center" vertical="center" wrapText="1"/>
    </xf>
    <xf numFmtId="2" fontId="14" fillId="9" borderId="7" xfId="0" applyNumberFormat="1" applyFont="1" applyFill="1" applyBorder="1"/>
    <xf numFmtId="164" fontId="14" fillId="9" borderId="7" xfId="2" applyFont="1" applyFill="1" applyBorder="1"/>
    <xf numFmtId="0" fontId="14" fillId="9" borderId="25" xfId="0" applyFont="1" applyFill="1" applyBorder="1"/>
    <xf numFmtId="164" fontId="19" fillId="9" borderId="7" xfId="2" applyFont="1" applyFill="1" applyBorder="1"/>
    <xf numFmtId="0" fontId="14" fillId="0" borderId="25" xfId="0" applyFont="1" applyBorder="1"/>
    <xf numFmtId="0" fontId="19" fillId="9" borderId="13" xfId="0" applyFont="1" applyFill="1" applyBorder="1"/>
    <xf numFmtId="0" fontId="14" fillId="9" borderId="13" xfId="0" applyFont="1" applyFill="1" applyBorder="1"/>
    <xf numFmtId="164" fontId="14" fillId="9" borderId="13" xfId="2" applyFont="1" applyFill="1" applyBorder="1"/>
    <xf numFmtId="164" fontId="19" fillId="9" borderId="13" xfId="2" applyFont="1" applyFill="1" applyBorder="1"/>
    <xf numFmtId="0" fontId="26" fillId="0" borderId="7" xfId="0" applyFont="1" applyFill="1" applyBorder="1" applyAlignment="1" applyProtection="1"/>
    <xf numFmtId="169" fontId="26" fillId="0" borderId="0" xfId="0" applyNumberFormat="1" applyFont="1" applyFill="1" applyAlignment="1" applyProtection="1"/>
    <xf numFmtId="0" fontId="14" fillId="9" borderId="0" xfId="0" applyFont="1" applyFill="1"/>
    <xf numFmtId="164" fontId="14" fillId="9" borderId="0" xfId="2" applyFont="1" applyFill="1"/>
    <xf numFmtId="164" fontId="19" fillId="9" borderId="0" xfId="2" applyFont="1" applyFill="1"/>
    <xf numFmtId="49" fontId="14" fillId="0" borderId="7" xfId="0" applyNumberFormat="1" applyFont="1" applyBorder="1"/>
    <xf numFmtId="164" fontId="14" fillId="9" borderId="7" xfId="2" applyFont="1" applyFill="1" applyBorder="1" applyAlignment="1"/>
    <xf numFmtId="0" fontId="32" fillId="0" borderId="0" xfId="0" applyFont="1"/>
    <xf numFmtId="49" fontId="14" fillId="9" borderId="15" xfId="0" applyNumberFormat="1" applyFont="1" applyFill="1" applyBorder="1" applyAlignment="1">
      <alignment horizontal="right"/>
    </xf>
    <xf numFmtId="0" fontId="19" fillId="9" borderId="7" xfId="0" applyFont="1" applyFill="1" applyBorder="1" applyAlignment="1"/>
    <xf numFmtId="49" fontId="14" fillId="9" borderId="0" xfId="0" applyNumberFormat="1" applyFont="1" applyFill="1" applyAlignment="1">
      <alignment horizontal="right"/>
    </xf>
    <xf numFmtId="4" fontId="14" fillId="9" borderId="0" xfId="0" applyNumberFormat="1" applyFont="1" applyFill="1" applyAlignment="1">
      <alignment wrapText="1"/>
    </xf>
    <xf numFmtId="0" fontId="19" fillId="9" borderId="0" xfId="0" applyFont="1" applyFill="1" applyAlignment="1"/>
    <xf numFmtId="0" fontId="14" fillId="9" borderId="0" xfId="0" applyFont="1" applyFill="1" applyAlignment="1"/>
    <xf numFmtId="170" fontId="19" fillId="9" borderId="0" xfId="0" applyNumberFormat="1" applyFont="1" applyFill="1" applyAlignment="1">
      <alignment horizontal="right"/>
    </xf>
    <xf numFmtId="49" fontId="14" fillId="9" borderId="26" xfId="0" applyNumberFormat="1" applyFont="1" applyFill="1" applyBorder="1" applyAlignment="1">
      <alignment horizontal="right"/>
    </xf>
    <xf numFmtId="2" fontId="14" fillId="9" borderId="13" xfId="0" applyNumberFormat="1" applyFont="1" applyFill="1" applyBorder="1" applyAlignment="1"/>
    <xf numFmtId="164" fontId="14" fillId="9" borderId="13" xfId="2" applyFont="1" applyFill="1" applyBorder="1" applyAlignment="1"/>
    <xf numFmtId="164" fontId="19" fillId="9" borderId="14" xfId="2" applyFont="1" applyFill="1" applyBorder="1" applyAlignment="1"/>
    <xf numFmtId="49" fontId="14" fillId="9" borderId="7" xfId="0" applyNumberFormat="1" applyFont="1" applyFill="1" applyBorder="1"/>
    <xf numFmtId="0" fontId="14" fillId="9" borderId="7" xfId="0" applyFont="1" applyFill="1" applyBorder="1" applyAlignment="1">
      <alignment horizontal="center" wrapText="1"/>
    </xf>
    <xf numFmtId="2" fontId="14" fillId="9" borderId="7" xfId="0" applyNumberFormat="1" applyFont="1" applyFill="1" applyBorder="1" applyAlignment="1">
      <alignment wrapText="1"/>
    </xf>
    <xf numFmtId="164" fontId="14" fillId="9" borderId="7" xfId="2" applyFont="1" applyFill="1" applyBorder="1" applyAlignment="1">
      <alignment wrapText="1"/>
    </xf>
    <xf numFmtId="0" fontId="14" fillId="0" borderId="7" xfId="0" applyFont="1" applyFill="1" applyBorder="1" applyAlignment="1">
      <alignment wrapText="1"/>
    </xf>
    <xf numFmtId="170" fontId="14" fillId="9" borderId="7" xfId="0" applyNumberFormat="1" applyFont="1" applyFill="1" applyBorder="1" applyAlignment="1">
      <alignment horizontal="right"/>
    </xf>
    <xf numFmtId="0" fontId="19" fillId="0" borderId="13" xfId="0" applyFont="1" applyBorder="1"/>
    <xf numFmtId="49" fontId="14" fillId="9" borderId="7" xfId="0" applyNumberFormat="1" applyFont="1" applyFill="1" applyBorder="1" applyAlignment="1">
      <alignment horizontal="center" vertical="top"/>
    </xf>
    <xf numFmtId="0" fontId="14" fillId="9" borderId="14" xfId="0" applyFont="1" applyFill="1" applyBorder="1" applyAlignment="1">
      <alignment wrapText="1"/>
    </xf>
    <xf numFmtId="0" fontId="19" fillId="9" borderId="0" xfId="0" applyFont="1" applyFill="1" applyAlignment="1">
      <alignment horizontal="center"/>
    </xf>
    <xf numFmtId="164" fontId="19" fillId="9" borderId="0" xfId="2" applyFont="1" applyFill="1" applyAlignment="1"/>
    <xf numFmtId="49" fontId="14" fillId="0" borderId="25" xfId="0" applyNumberFormat="1" applyFont="1" applyBorder="1"/>
    <xf numFmtId="4" fontId="14" fillId="9" borderId="14" xfId="0" applyNumberFormat="1" applyFont="1" applyFill="1" applyBorder="1" applyAlignment="1">
      <alignment wrapText="1"/>
    </xf>
    <xf numFmtId="49" fontId="14" fillId="9" borderId="25" xfId="0" applyNumberFormat="1" applyFont="1" applyFill="1" applyBorder="1" applyAlignment="1">
      <alignment horizontal="center" vertical="top"/>
    </xf>
    <xf numFmtId="0" fontId="19" fillId="9" borderId="13" xfId="0" applyFont="1" applyFill="1" applyBorder="1" applyAlignment="1">
      <alignment vertical="center" wrapText="1"/>
    </xf>
    <xf numFmtId="0" fontId="19" fillId="9" borderId="13" xfId="0" applyFont="1" applyFill="1" applyBorder="1" applyAlignment="1">
      <alignment horizontal="center" vertical="center" wrapText="1"/>
    </xf>
    <xf numFmtId="167" fontId="19" fillId="9" borderId="26" xfId="24" applyFont="1" applyFill="1" applyBorder="1" applyAlignment="1">
      <alignment horizontal="center" vertical="center" wrapText="1"/>
    </xf>
    <xf numFmtId="168" fontId="19" fillId="9" borderId="13" xfId="17" applyFont="1" applyFill="1" applyBorder="1" applyAlignment="1">
      <alignment horizontal="center" vertical="center" wrapText="1"/>
    </xf>
    <xf numFmtId="171" fontId="14" fillId="9" borderId="7" xfId="0" applyNumberFormat="1" applyFont="1" applyFill="1" applyBorder="1" applyAlignment="1">
      <alignment horizontal="right" wrapText="1"/>
    </xf>
    <xf numFmtId="164" fontId="19" fillId="9" borderId="12" xfId="2" applyFont="1" applyFill="1" applyBorder="1" applyAlignment="1"/>
    <xf numFmtId="49" fontId="19" fillId="9" borderId="0" xfId="0" applyNumberFormat="1" applyFont="1" applyFill="1" applyAlignment="1">
      <alignment horizontal="center" vertical="top"/>
    </xf>
    <xf numFmtId="0" fontId="19" fillId="9" borderId="0" xfId="0" applyFont="1" applyFill="1" applyAlignment="1">
      <alignment wrapText="1"/>
    </xf>
    <xf numFmtId="2" fontId="19" fillId="9" borderId="0" xfId="0" applyNumberFormat="1" applyFont="1" applyFill="1" applyAlignment="1">
      <alignment wrapText="1"/>
    </xf>
    <xf numFmtId="0" fontId="19" fillId="0" borderId="2" xfId="0" applyFont="1" applyBorder="1"/>
    <xf numFmtId="0" fontId="19" fillId="9" borderId="14" xfId="0" applyFont="1" applyFill="1" applyBorder="1" applyAlignment="1">
      <alignment vertical="center" wrapText="1"/>
    </xf>
    <xf numFmtId="49" fontId="14" fillId="9" borderId="25" xfId="0" applyNumberFormat="1" applyFont="1" applyFill="1" applyBorder="1"/>
    <xf numFmtId="2" fontId="14" fillId="9" borderId="7" xfId="24" applyNumberFormat="1" applyFont="1" applyFill="1" applyBorder="1" applyAlignment="1">
      <alignment horizontal="center" vertical="top"/>
    </xf>
    <xf numFmtId="14" fontId="14" fillId="0" borderId="22" xfId="0" applyNumberFormat="1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4" fontId="14" fillId="0" borderId="7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10" fontId="14" fillId="9" borderId="25" xfId="21" applyNumberFormat="1" applyFont="1" applyFill="1" applyBorder="1" applyAlignment="1">
      <alignment vertical="center"/>
    </xf>
    <xf numFmtId="4" fontId="14" fillId="0" borderId="7" xfId="0" applyNumberFormat="1" applyFont="1" applyFill="1" applyBorder="1" applyAlignment="1">
      <alignment vertical="center" wrapText="1"/>
    </xf>
    <xf numFmtId="10" fontId="14" fillId="9" borderId="7" xfId="21" applyNumberFormat="1" applyFont="1" applyFill="1" applyBorder="1" applyAlignment="1">
      <alignment vertical="center"/>
    </xf>
    <xf numFmtId="4" fontId="14" fillId="0" borderId="16" xfId="0" applyNumberFormat="1" applyFont="1" applyFill="1" applyBorder="1" applyAlignment="1">
      <alignment vertical="center"/>
    </xf>
    <xf numFmtId="4" fontId="14" fillId="0" borderId="7" xfId="0" applyNumberFormat="1" applyFont="1" applyFill="1" applyBorder="1" applyAlignment="1">
      <alignment horizontal="center" vertical="center"/>
    </xf>
    <xf numFmtId="10" fontId="14" fillId="9" borderId="7" xfId="20" applyNumberFormat="1" applyFont="1" applyFill="1" applyBorder="1" applyAlignment="1">
      <alignment vertical="center"/>
    </xf>
    <xf numFmtId="4" fontId="14" fillId="0" borderId="23" xfId="0" applyNumberFormat="1" applyFont="1" applyFill="1" applyBorder="1" applyAlignment="1">
      <alignment vertical="center" wrapText="1"/>
    </xf>
    <xf numFmtId="49" fontId="19" fillId="9" borderId="7" xfId="0" applyNumberFormat="1" applyFont="1" applyFill="1" applyBorder="1" applyAlignment="1">
      <alignment horizontal="center" vertical="top"/>
    </xf>
    <xf numFmtId="0" fontId="19" fillId="9" borderId="7" xfId="0" applyFont="1" applyFill="1" applyBorder="1" applyAlignment="1">
      <alignment wrapText="1"/>
    </xf>
    <xf numFmtId="2" fontId="19" fillId="9" borderId="7" xfId="0" applyNumberFormat="1" applyFont="1" applyFill="1" applyBorder="1" applyAlignment="1">
      <alignment wrapText="1"/>
    </xf>
    <xf numFmtId="2" fontId="14" fillId="9" borderId="7" xfId="1" applyNumberFormat="1" applyFont="1" applyFill="1" applyBorder="1" applyAlignment="1">
      <alignment horizontal="center" vertical="top"/>
    </xf>
    <xf numFmtId="172" fontId="14" fillId="9" borderId="7" xfId="1" applyFont="1" applyFill="1" applyBorder="1" applyAlignment="1">
      <alignment vertical="top"/>
    </xf>
    <xf numFmtId="0" fontId="14" fillId="13" borderId="2" xfId="0" applyFont="1" applyFill="1" applyBorder="1" applyAlignment="1">
      <alignment vertical="center" wrapText="1"/>
    </xf>
    <xf numFmtId="0" fontId="19" fillId="0" borderId="15" xfId="0" applyFont="1" applyBorder="1"/>
    <xf numFmtId="0" fontId="14" fillId="13" borderId="7" xfId="0" applyFont="1" applyFill="1" applyBorder="1" applyAlignment="1">
      <alignment horizontal="left" vertical="top" wrapText="1"/>
    </xf>
    <xf numFmtId="0" fontId="26" fillId="0" borderId="25" xfId="0" applyFont="1" applyBorder="1"/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164" fontId="26" fillId="0" borderId="7" xfId="2" applyFont="1" applyBorder="1" applyAlignment="1">
      <alignment horizontal="center" vertical="center"/>
    </xf>
    <xf numFmtId="164" fontId="14" fillId="0" borderId="7" xfId="2" applyFont="1" applyBorder="1" applyAlignment="1">
      <alignment horizontal="center" vertical="center"/>
    </xf>
    <xf numFmtId="0" fontId="14" fillId="9" borderId="7" xfId="0" applyFont="1" applyFill="1" applyBorder="1" applyAlignment="1">
      <alignment horizontal="center" vertical="center"/>
    </xf>
    <xf numFmtId="164" fontId="14" fillId="9" borderId="7" xfId="2" applyFont="1" applyFill="1" applyBorder="1" applyAlignment="1">
      <alignment horizontal="center" vertical="center"/>
    </xf>
    <xf numFmtId="0" fontId="14" fillId="0" borderId="0" xfId="0" applyFont="1" applyAlignment="1">
      <alignment wrapText="1"/>
    </xf>
    <xf numFmtId="0" fontId="14" fillId="0" borderId="7" xfId="0" applyFont="1" applyBorder="1" applyAlignment="1">
      <alignment horizontal="center" vertical="top" wrapText="1"/>
    </xf>
    <xf numFmtId="0" fontId="14" fillId="9" borderId="7" xfId="0" applyFont="1" applyFill="1" applyBorder="1" applyAlignment="1">
      <alignment horizontal="right" vertical="top" wrapText="1"/>
    </xf>
    <xf numFmtId="0" fontId="14" fillId="0" borderId="7" xfId="0" applyFont="1" applyBorder="1" applyAlignment="1">
      <alignment horizontal="left" vertical="top" wrapText="1"/>
    </xf>
    <xf numFmtId="0" fontId="14" fillId="9" borderId="7" xfId="0" applyFont="1" applyFill="1" applyBorder="1" applyAlignment="1">
      <alignment horizontal="right" vertical="top"/>
    </xf>
    <xf numFmtId="164" fontId="14" fillId="0" borderId="7" xfId="2" applyFont="1" applyFill="1" applyBorder="1"/>
    <xf numFmtId="0" fontId="14" fillId="9" borderId="13" xfId="0" applyFont="1" applyFill="1" applyBorder="1" applyAlignment="1">
      <alignment horizontal="right" vertical="top"/>
    </xf>
    <xf numFmtId="0" fontId="14" fillId="0" borderId="13" xfId="0" applyFont="1" applyBorder="1" applyAlignment="1">
      <alignment horizontal="left" vertical="top" wrapText="1"/>
    </xf>
    <xf numFmtId="164" fontId="14" fillId="0" borderId="13" xfId="2" applyFont="1" applyFill="1" applyBorder="1"/>
    <xf numFmtId="164" fontId="14" fillId="0" borderId="14" xfId="2" applyFont="1" applyBorder="1"/>
    <xf numFmtId="164" fontId="19" fillId="0" borderId="14" xfId="2" applyFont="1" applyBorder="1"/>
    <xf numFmtId="0" fontId="26" fillId="0" borderId="25" xfId="0" applyFont="1" applyBorder="1" applyAlignment="1">
      <alignment horizontal="center" vertical="center"/>
    </xf>
    <xf numFmtId="0" fontId="26" fillId="0" borderId="0" xfId="0" applyFont="1" applyFill="1" applyAlignment="1" applyProtection="1">
      <alignment wrapText="1"/>
    </xf>
    <xf numFmtId="2" fontId="26" fillId="0" borderId="7" xfId="0" applyNumberFormat="1" applyFont="1" applyBorder="1"/>
    <xf numFmtId="164" fontId="26" fillId="0" borderId="7" xfId="2" applyFont="1" applyBorder="1"/>
    <xf numFmtId="0" fontId="0" fillId="0" borderId="7" xfId="0" applyBorder="1" applyAlignment="1">
      <alignment horizontal="center" vertical="center"/>
    </xf>
    <xf numFmtId="0" fontId="14" fillId="0" borderId="7" xfId="0" applyFont="1" applyBorder="1" applyAlignment="1">
      <alignment wrapText="1"/>
    </xf>
    <xf numFmtId="0" fontId="26" fillId="0" borderId="7" xfId="0" applyFont="1" applyFill="1" applyBorder="1" applyAlignment="1" applyProtection="1">
      <alignment horizontal="center" vertical="center"/>
    </xf>
    <xf numFmtId="0" fontId="19" fillId="0" borderId="7" xfId="0" applyFont="1" applyFill="1" applyBorder="1" applyAlignment="1">
      <alignment horizontal="center"/>
    </xf>
    <xf numFmtId="0" fontId="19" fillId="9" borderId="7" xfId="0" applyFont="1" applyFill="1" applyBorder="1" applyAlignment="1">
      <alignment horizontal="center"/>
    </xf>
    <xf numFmtId="49" fontId="19" fillId="9" borderId="7" xfId="0" applyNumberFormat="1" applyFont="1" applyFill="1" applyBorder="1" applyAlignment="1">
      <alignment horizontal="center"/>
    </xf>
  </cellXfs>
  <cellStyles count="29">
    <cellStyle name="Accent" xfId="4"/>
    <cellStyle name="Accent 1" xfId="5"/>
    <cellStyle name="Accent 2" xfId="6"/>
    <cellStyle name="Accent 3" xfId="7"/>
    <cellStyle name="Bad" xfId="8"/>
    <cellStyle name="Error" xfId="9"/>
    <cellStyle name="Excel_BuiltIn_Comma" xfId="10"/>
    <cellStyle name="Footnote" xfId="11"/>
    <cellStyle name="Good" xfId="12"/>
    <cellStyle name="Heading (user)" xfId="13"/>
    <cellStyle name="Heading 1" xfId="14"/>
    <cellStyle name="Heading 2" xfId="15"/>
    <cellStyle name="Hyperlink" xfId="16"/>
    <cellStyle name="Moeda" xfId="2" builtinId="4" customBuiltin="1"/>
    <cellStyle name="Moeda 2" xfId="17"/>
    <cellStyle name="Neutral" xfId="18"/>
    <cellStyle name="Normal" xfId="0" builtinId="0" customBuiltin="1"/>
    <cellStyle name="Note" xfId="19"/>
    <cellStyle name="Porcentagem" xfId="3" builtinId="5" customBuiltin="1"/>
    <cellStyle name="Porcentagem 2 10" xfId="20"/>
    <cellStyle name="Porcentagem 2 2 2 2" xfId="21"/>
    <cellStyle name="Result (user)" xfId="22"/>
    <cellStyle name="Separador de milhares 2" xfId="23"/>
    <cellStyle name="Separador de milhares 2 2" xfId="24"/>
    <cellStyle name="Status" xfId="25"/>
    <cellStyle name="Text" xfId="26"/>
    <cellStyle name="Vírgula" xfId="1" builtinId="3" customBuiltin="1"/>
    <cellStyle name="Vírgula 2" xfId="27"/>
    <cellStyle name="Warning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371475</xdr:colOff>
      <xdr:row>1</xdr:row>
      <xdr:rowOff>133346</xdr:rowOff>
    </xdr:from>
    <xdr:ext cx="1085850" cy="771525"/>
    <xdr:pic>
      <xdr:nvPicPr>
        <xdr:cNvPr id="2" name="Imagem 9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71475" y="314321"/>
          <a:ext cx="1085850" cy="77152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6</xdr:col>
      <xdr:colOff>714375</xdr:colOff>
      <xdr:row>1</xdr:row>
      <xdr:rowOff>171450</xdr:rowOff>
    </xdr:from>
    <xdr:ext cx="1044948" cy="862297"/>
    <xdr:pic>
      <xdr:nvPicPr>
        <xdr:cNvPr id="3" name="Picture 3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7343775" y="352425"/>
          <a:ext cx="1044948" cy="862297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228600</xdr:colOff>
      <xdr:row>2</xdr:row>
      <xdr:rowOff>19046</xdr:rowOff>
    </xdr:from>
    <xdr:ext cx="4586758" cy="599846"/>
    <xdr:sp macro="" textlink="">
      <xdr:nvSpPr>
        <xdr:cNvPr id="4" name="Text Box 4"/>
        <xdr:cNvSpPr/>
      </xdr:nvSpPr>
      <xdr:spPr>
        <a:xfrm>
          <a:off x="2114550" y="380996"/>
          <a:ext cx="4586758" cy="599846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solidFill>
          <a:srgbClr val="FFFFFF"/>
        </a:solidFill>
        <a:ln cap="flat">
          <a:noFill/>
          <a:prstDash val="solid"/>
        </a:ln>
      </xdr:spPr>
      <xdr:txBody>
        <a:bodyPr vert="horz" wrap="square" lIns="27358" tIns="22677" rIns="27358" bIns="0" anchor="t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000" b="0" i="0" u="none" strike="noStrike" kern="1200" cap="none" spc="0" baseline="0">
              <a:solidFill>
                <a:srgbClr val="000000"/>
              </a:solidFill>
              <a:uFillTx/>
              <a:latin typeface="Arial" pitchFamily="18"/>
              <a:ea typeface="Segoe UI" pitchFamily="2"/>
              <a:cs typeface="Arial" pitchFamily="2"/>
            </a:rPr>
            <a:t>GOVERNO DO ESTADO DE MATO GROSSO</a:t>
          </a: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000" b="0" i="0" u="none" strike="noStrike" kern="1200" cap="none" spc="0" baseline="0">
              <a:solidFill>
                <a:srgbClr val="000000"/>
              </a:solidFill>
              <a:uFillTx/>
              <a:latin typeface="Arial" pitchFamily="18"/>
              <a:ea typeface="Segoe UI" pitchFamily="2"/>
              <a:cs typeface="Arial" pitchFamily="2"/>
            </a:rPr>
            <a:t>SECRETARIA DE ESTADO DE JUSTIÇA E SEGURANÇA PÚBLICA</a:t>
          </a: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000" b="0" i="0" u="none" strike="noStrike" kern="1200" cap="none" spc="0" baseline="0">
              <a:solidFill>
                <a:srgbClr val="000000"/>
              </a:solidFill>
              <a:uFillTx/>
              <a:latin typeface="Arial" pitchFamily="18"/>
              <a:ea typeface="Segoe UI" pitchFamily="2"/>
              <a:cs typeface="Arial" pitchFamily="2"/>
            </a:rPr>
            <a:t>DEPARTAMENTO ESTADUAL DE TRÂNSITO</a:t>
          </a: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000" b="0" i="0" u="none" strike="noStrike" kern="1200" cap="none" spc="0" baseline="0">
              <a:solidFill>
                <a:srgbClr val="000000"/>
              </a:solidFill>
              <a:uFillTx/>
              <a:latin typeface="Arial" pitchFamily="18"/>
              <a:ea typeface="Segoe UI" pitchFamily="2"/>
              <a:cs typeface="Arial" pitchFamily="2"/>
            </a:rPr>
            <a:t>COORDENADORIA DE OBRAS E ENGENHARIA</a:t>
          </a: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000" b="0" i="0" u="none" strike="noStrike" kern="1200" cap="none" spc="0" baseline="0">
            <a:solidFill>
              <a:srgbClr val="000000"/>
            </a:solidFill>
            <a:uFillTx/>
            <a:latin typeface="Arial" pitchFamily="18"/>
            <a:ea typeface="Segoe UI" pitchFamily="2"/>
            <a:cs typeface="Arial" pitchFamily="2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113019</xdr:colOff>
      <xdr:row>1</xdr:row>
      <xdr:rowOff>37088</xdr:rowOff>
    </xdr:from>
    <xdr:ext cx="4586758" cy="599846"/>
    <xdr:sp macro="" textlink="">
      <xdr:nvSpPr>
        <xdr:cNvPr id="4" name="Text Box 4"/>
        <xdr:cNvSpPr/>
      </xdr:nvSpPr>
      <xdr:spPr>
        <a:xfrm>
          <a:off x="2589519" y="218063"/>
          <a:ext cx="4586758" cy="599846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solidFill>
          <a:srgbClr val="FFFFFF"/>
        </a:solidFill>
        <a:ln cap="flat">
          <a:noFill/>
          <a:prstDash val="solid"/>
        </a:ln>
      </xdr:spPr>
      <xdr:txBody>
        <a:bodyPr vert="horz" wrap="square" lIns="27358" tIns="22677" rIns="27358" bIns="0" anchor="t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000" b="0" i="0" u="none" strike="noStrike" kern="1200" cap="none" spc="0" baseline="0">
              <a:solidFill>
                <a:srgbClr val="000000"/>
              </a:solidFill>
              <a:uFillTx/>
              <a:latin typeface="Arial" pitchFamily="18"/>
              <a:ea typeface="Segoe UI" pitchFamily="2"/>
              <a:cs typeface="Arial" pitchFamily="2"/>
            </a:rPr>
            <a:t>GOVERNO DO ESTADO DE MATO GROSSO</a:t>
          </a: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000" b="0" i="0" u="none" strike="noStrike" kern="1200" cap="none" spc="0" baseline="0">
              <a:solidFill>
                <a:srgbClr val="000000"/>
              </a:solidFill>
              <a:uFillTx/>
              <a:latin typeface="Arial" pitchFamily="18"/>
              <a:ea typeface="Segoe UI" pitchFamily="2"/>
              <a:cs typeface="Arial" pitchFamily="2"/>
            </a:rPr>
            <a:t>SECRETARIA DE ESTADO DE JUSTIÇA E SEGURANÇA PÚBLICA</a:t>
          </a: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000" b="0" i="0" u="none" strike="noStrike" kern="1200" cap="none" spc="0" baseline="0">
              <a:solidFill>
                <a:srgbClr val="000000"/>
              </a:solidFill>
              <a:uFillTx/>
              <a:latin typeface="Arial" pitchFamily="18"/>
              <a:ea typeface="Segoe UI" pitchFamily="2"/>
              <a:cs typeface="Arial" pitchFamily="2"/>
            </a:rPr>
            <a:t>DEPARTAMENTO ESTADUAL DE TRÂNSITO</a:t>
          </a: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000" b="0" i="0" u="none" strike="noStrike" kern="1200" cap="none" spc="0" baseline="0">
              <a:solidFill>
                <a:srgbClr val="000000"/>
              </a:solidFill>
              <a:uFillTx/>
              <a:latin typeface="Arial" pitchFamily="18"/>
              <a:ea typeface="Segoe UI" pitchFamily="2"/>
              <a:cs typeface="Arial" pitchFamily="2"/>
            </a:rPr>
            <a:t>COORDENADORIA DE OBRAS E ENGENHARIA</a:t>
          </a: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000" b="0" i="0" u="none" strike="noStrike" kern="1200" cap="none" spc="0" baseline="0">
            <a:solidFill>
              <a:srgbClr val="000000"/>
            </a:solidFill>
            <a:uFillTx/>
            <a:latin typeface="Arial" pitchFamily="18"/>
            <a:ea typeface="Segoe UI" pitchFamily="2"/>
            <a:cs typeface="Arial" pitchFamily="2"/>
          </a:endParaRPr>
        </a:p>
      </xdr:txBody>
    </xdr:sp>
    <xdr:clientData/>
  </xdr:oneCellAnchor>
  <xdr:oneCellAnchor>
    <xdr:from>
      <xdr:col>1</xdr:col>
      <xdr:colOff>428625</xdr:colOff>
      <xdr:row>0</xdr:row>
      <xdr:rowOff>47621</xdr:rowOff>
    </xdr:from>
    <xdr:ext cx="1085850" cy="776499"/>
    <xdr:pic>
      <xdr:nvPicPr>
        <xdr:cNvPr id="2" name="Imagem 9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71525" y="47621"/>
          <a:ext cx="1085850" cy="7764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13</xdr:col>
      <xdr:colOff>713542</xdr:colOff>
      <xdr:row>0</xdr:row>
      <xdr:rowOff>69156</xdr:rowOff>
    </xdr:from>
    <xdr:ext cx="1044948" cy="862297"/>
    <xdr:pic>
      <xdr:nvPicPr>
        <xdr:cNvPr id="3" name="Picture 3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7857292" y="69156"/>
          <a:ext cx="1044948" cy="862297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9"/>
  <sheetViews>
    <sheetView tabSelected="1" workbookViewId="0"/>
  </sheetViews>
  <sheetFormatPr defaultRowHeight="14.25"/>
  <cols>
    <col min="1" max="1" width="6.75" style="150" customWidth="1"/>
    <col min="2" max="2" width="11.75" style="13" customWidth="1"/>
    <col min="3" max="3" width="6.25" style="13" customWidth="1"/>
    <col min="4" max="4" width="47.375" style="14" customWidth="1"/>
    <col min="5" max="5" width="5.125" style="15" customWidth="1"/>
    <col min="6" max="6" width="9.75" style="15" customWidth="1"/>
    <col min="7" max="7" width="9.5" style="7" customWidth="1"/>
    <col min="8" max="8" width="8.875" style="15" customWidth="1"/>
    <col min="9" max="9" width="12.375" style="15" customWidth="1"/>
    <col min="10" max="10" width="2.875" customWidth="1"/>
    <col min="11" max="11" width="11.125" style="7" customWidth="1"/>
    <col min="12" max="12" width="11.625" style="8" customWidth="1"/>
    <col min="13" max="13" width="11.625" style="7" customWidth="1"/>
    <col min="14" max="14" width="19.25" style="7" customWidth="1"/>
    <col min="15" max="15" width="13.375" style="9" customWidth="1"/>
    <col min="16" max="16" width="9.125" style="9" customWidth="1"/>
    <col min="17" max="17" width="9.5" style="9" customWidth="1"/>
    <col min="18" max="18" width="8.5" style="10" customWidth="1"/>
    <col min="19" max="19" width="8.5" style="11" customWidth="1"/>
    <col min="20" max="20" width="14.25" customWidth="1"/>
    <col min="21" max="1027" width="8.375" customWidth="1"/>
    <col min="1028" max="1028" width="9" customWidth="1"/>
  </cols>
  <sheetData>
    <row r="1" spans="1:19">
      <c r="A1" s="1"/>
      <c r="B1" s="2"/>
      <c r="C1" s="2"/>
      <c r="D1" s="3"/>
      <c r="E1" s="4"/>
      <c r="F1" s="4"/>
      <c r="G1" s="5"/>
      <c r="H1" s="4"/>
      <c r="I1" s="6"/>
    </row>
    <row r="2" spans="1:19">
      <c r="A2" s="12"/>
      <c r="I2" s="16"/>
    </row>
    <row r="3" spans="1:19">
      <c r="A3" s="12"/>
      <c r="I3" s="16"/>
    </row>
    <row r="4" spans="1:19">
      <c r="A4" s="12"/>
      <c r="I4" s="16"/>
    </row>
    <row r="5" spans="1:19">
      <c r="A5" s="12"/>
      <c r="I5" s="16"/>
      <c r="M5" s="17"/>
      <c r="P5" s="18"/>
    </row>
    <row r="6" spans="1:19">
      <c r="A6" s="12"/>
      <c r="I6" s="16"/>
      <c r="P6" s="18"/>
    </row>
    <row r="7" spans="1:19" ht="15" thickBot="1">
      <c r="A7" s="12"/>
      <c r="I7" s="16"/>
      <c r="P7" s="18"/>
    </row>
    <row r="8" spans="1:19" ht="16.5" thickBot="1">
      <c r="A8" s="155" t="s">
        <v>0</v>
      </c>
      <c r="B8" s="155"/>
      <c r="C8" s="155"/>
      <c r="D8" s="155"/>
      <c r="E8" s="155"/>
      <c r="F8" s="155"/>
      <c r="G8" s="155"/>
      <c r="H8" s="155"/>
      <c r="I8" s="155"/>
      <c r="K8" s="19"/>
      <c r="L8" s="20"/>
      <c r="M8" s="19"/>
      <c r="N8" s="19"/>
    </row>
    <row r="9" spans="1:19">
      <c r="A9" s="12"/>
      <c r="B9" s="21"/>
      <c r="C9" s="21"/>
      <c r="D9" s="22"/>
      <c r="E9" s="23"/>
      <c r="F9" s="156"/>
      <c r="G9" s="156"/>
      <c r="H9" s="156"/>
      <c r="I9" s="156"/>
      <c r="K9" s="24"/>
      <c r="L9" s="25"/>
      <c r="M9" s="24"/>
      <c r="N9" s="24"/>
    </row>
    <row r="10" spans="1:19">
      <c r="A10" s="157" t="s">
        <v>1</v>
      </c>
      <c r="B10" s="157"/>
      <c r="C10" s="157"/>
      <c r="D10" s="157"/>
      <c r="F10" s="23"/>
      <c r="G10" s="24"/>
      <c r="H10" s="23"/>
      <c r="I10" s="26"/>
    </row>
    <row r="11" spans="1:19">
      <c r="A11" s="157" t="s">
        <v>2</v>
      </c>
      <c r="B11" s="157"/>
      <c r="C11" s="157"/>
      <c r="D11" s="157"/>
      <c r="F11" s="158" t="s">
        <v>3</v>
      </c>
      <c r="G11" s="158"/>
      <c r="H11" s="158"/>
      <c r="I11" s="158"/>
    </row>
    <row r="12" spans="1:19">
      <c r="A12" s="157" t="s">
        <v>4</v>
      </c>
      <c r="B12" s="157"/>
      <c r="C12" s="157"/>
      <c r="D12" s="157"/>
      <c r="F12" s="159"/>
      <c r="G12" s="159"/>
      <c r="H12" s="159"/>
      <c r="I12" s="159"/>
      <c r="L12" s="27">
        <v>1.2763</v>
      </c>
    </row>
    <row r="13" spans="1:19">
      <c r="A13" s="12"/>
      <c r="B13" s="21"/>
      <c r="C13" s="21"/>
      <c r="D13" s="22"/>
      <c r="E13" s="23"/>
      <c r="F13" s="159"/>
      <c r="G13" s="159"/>
      <c r="H13" s="159"/>
      <c r="I13" s="159"/>
      <c r="K13" s="24"/>
      <c r="L13" s="25"/>
      <c r="M13" s="24"/>
      <c r="N13" s="24"/>
    </row>
    <row r="14" spans="1:19">
      <c r="A14" s="28"/>
      <c r="B14" s="29"/>
      <c r="C14" s="29"/>
      <c r="D14" s="30"/>
      <c r="E14" s="31"/>
      <c r="F14" s="160" t="s">
        <v>5</v>
      </c>
      <c r="G14" s="160"/>
      <c r="H14" s="160"/>
      <c r="I14" s="160"/>
      <c r="K14" s="24"/>
      <c r="L14" s="25"/>
      <c r="M14" s="24"/>
      <c r="N14" s="24"/>
    </row>
    <row r="15" spans="1:19" s="37" customFormat="1">
      <c r="A15" s="32" t="s">
        <v>6</v>
      </c>
      <c r="B15" s="32" t="s">
        <v>7</v>
      </c>
      <c r="C15" s="32" t="s">
        <v>8</v>
      </c>
      <c r="D15" s="32" t="s">
        <v>9</v>
      </c>
      <c r="E15" s="32" t="s">
        <v>10</v>
      </c>
      <c r="F15" s="32" t="s">
        <v>11</v>
      </c>
      <c r="G15" s="33" t="s">
        <v>12</v>
      </c>
      <c r="H15" s="32" t="s">
        <v>12</v>
      </c>
      <c r="I15" s="32" t="s">
        <v>13</v>
      </c>
      <c r="J15"/>
      <c r="K15" s="34"/>
      <c r="L15" s="35"/>
      <c r="M15" s="34"/>
      <c r="N15" s="34"/>
      <c r="O15" s="9"/>
      <c r="P15" s="9"/>
      <c r="Q15" s="9"/>
      <c r="R15" s="10"/>
      <c r="S15" s="36"/>
    </row>
    <row r="16" spans="1:19" s="37" customFormat="1">
      <c r="A16" s="38" t="s">
        <v>14</v>
      </c>
      <c r="B16" s="32"/>
      <c r="C16" s="32"/>
      <c r="D16" s="32" t="s">
        <v>15</v>
      </c>
      <c r="E16" s="32"/>
      <c r="F16" s="32"/>
      <c r="G16" s="33" t="s">
        <v>16</v>
      </c>
      <c r="H16" s="32" t="s">
        <v>17</v>
      </c>
      <c r="I16" s="32"/>
      <c r="J16"/>
      <c r="K16" s="34"/>
      <c r="L16" s="39"/>
      <c r="M16" s="34"/>
      <c r="N16" s="34"/>
      <c r="O16" s="9"/>
      <c r="P16" s="9"/>
      <c r="Q16" s="9"/>
      <c r="R16" s="10"/>
      <c r="S16" s="36"/>
    </row>
    <row r="17" spans="1:19" s="50" customFormat="1" ht="22.5">
      <c r="A17" s="40" t="s">
        <v>18</v>
      </c>
      <c r="B17" s="40">
        <v>90777</v>
      </c>
      <c r="C17" s="40" t="s">
        <v>19</v>
      </c>
      <c r="D17" s="41" t="s">
        <v>20</v>
      </c>
      <c r="E17" s="42" t="s">
        <v>21</v>
      </c>
      <c r="F17" s="42">
        <f>TRUNC(K17,2)</f>
        <v>96</v>
      </c>
      <c r="G17" s="43">
        <f>L17</f>
        <v>81.02</v>
      </c>
      <c r="H17" s="42">
        <f>TRUNC(L17*L$12,2)</f>
        <v>103.4</v>
      </c>
      <c r="I17" s="42">
        <f>TRUNC(F17*H17,2)</f>
        <v>9926.4</v>
      </c>
      <c r="J17"/>
      <c r="K17" s="44">
        <f>2*2*4*6</f>
        <v>96</v>
      </c>
      <c r="L17" s="45">
        <v>81.02</v>
      </c>
      <c r="M17" s="46"/>
      <c r="N17" s="46"/>
      <c r="O17" s="47">
        <f>6000/222.8</f>
        <v>26.929982046678635</v>
      </c>
      <c r="P17" s="47"/>
      <c r="Q17" s="47"/>
      <c r="R17" s="48"/>
      <c r="S17" s="49"/>
    </row>
    <row r="18" spans="1:19" s="50" customFormat="1">
      <c r="A18" s="40" t="s">
        <v>22</v>
      </c>
      <c r="B18" s="40">
        <v>90776</v>
      </c>
      <c r="C18" s="40" t="s">
        <v>19</v>
      </c>
      <c r="D18" s="41" t="s">
        <v>23</v>
      </c>
      <c r="E18" s="42" t="s">
        <v>21</v>
      </c>
      <c r="F18" s="42">
        <f>TRUNC(K18,2)</f>
        <v>1320</v>
      </c>
      <c r="G18" s="43">
        <f>L18</f>
        <v>22.23</v>
      </c>
      <c r="H18" s="42">
        <f>TRUNC(L18*L$12,2)</f>
        <v>28.37</v>
      </c>
      <c r="I18" s="42">
        <f>TRUNC(F18*H18,2)</f>
        <v>37448.400000000001</v>
      </c>
      <c r="J18"/>
      <c r="K18" s="51">
        <f>6*220</f>
        <v>1320</v>
      </c>
      <c r="L18" s="45">
        <v>22.23</v>
      </c>
      <c r="M18" s="46"/>
      <c r="N18" s="46"/>
      <c r="O18" s="47"/>
      <c r="P18" s="47"/>
      <c r="Q18" s="47"/>
      <c r="R18" s="48"/>
      <c r="S18" s="49"/>
    </row>
    <row r="19" spans="1:19" s="50" customFormat="1">
      <c r="A19" s="40" t="s">
        <v>24</v>
      </c>
      <c r="B19" s="40" t="s">
        <v>25</v>
      </c>
      <c r="C19" s="40" t="s">
        <v>26</v>
      </c>
      <c r="D19" s="41" t="s">
        <v>27</v>
      </c>
      <c r="E19" s="42" t="s">
        <v>28</v>
      </c>
      <c r="F19" s="42">
        <f>TRUNC(K19,2)</f>
        <v>3.12</v>
      </c>
      <c r="G19" s="43">
        <f>L19</f>
        <v>551.36</v>
      </c>
      <c r="H19" s="42">
        <f>TRUNC(L19*L$12,2)</f>
        <v>703.7</v>
      </c>
      <c r="I19" s="42">
        <f>TRUNC(F19*H19,2)</f>
        <v>2195.54</v>
      </c>
      <c r="J19"/>
      <c r="K19" s="51">
        <f>2.5*1.25</f>
        <v>3.125</v>
      </c>
      <c r="L19" s="52">
        <v>551.36</v>
      </c>
      <c r="M19" s="46"/>
      <c r="N19" s="46"/>
      <c r="O19" s="47"/>
      <c r="P19" s="47"/>
      <c r="Q19" s="47"/>
      <c r="R19" s="48"/>
      <c r="S19" s="49"/>
    </row>
    <row r="20" spans="1:19" s="50" customFormat="1">
      <c r="A20" s="40" t="s">
        <v>29</v>
      </c>
      <c r="B20" s="40" t="s">
        <v>25</v>
      </c>
      <c r="C20" s="40" t="s">
        <v>30</v>
      </c>
      <c r="D20" s="41" t="s">
        <v>31</v>
      </c>
      <c r="E20" s="42" t="s">
        <v>32</v>
      </c>
      <c r="F20" s="42">
        <f>TRUNC(K20,2)</f>
        <v>6</v>
      </c>
      <c r="G20" s="43">
        <f>L20</f>
        <v>400</v>
      </c>
      <c r="H20" s="42">
        <f>TRUNC(L20*L$12,2)</f>
        <v>510.52</v>
      </c>
      <c r="I20" s="42">
        <f>TRUNC(F20*H20,2)</f>
        <v>3063.12</v>
      </c>
      <c r="J20"/>
      <c r="K20" s="51">
        <v>6</v>
      </c>
      <c r="L20" s="52">
        <v>400</v>
      </c>
      <c r="M20" s="46"/>
      <c r="N20" s="46"/>
      <c r="O20" s="47"/>
      <c r="P20" s="47"/>
      <c r="Q20" s="47"/>
      <c r="R20" s="48"/>
      <c r="S20" s="49"/>
    </row>
    <row r="21" spans="1:19" s="50" customFormat="1" ht="78.75">
      <c r="A21" s="40" t="s">
        <v>33</v>
      </c>
      <c r="B21" s="40">
        <v>5824</v>
      </c>
      <c r="C21" s="40" t="s">
        <v>19</v>
      </c>
      <c r="D21" s="41" t="s">
        <v>34</v>
      </c>
      <c r="E21" s="42" t="s">
        <v>35</v>
      </c>
      <c r="F21" s="42">
        <f>TRUNC(K21,2)</f>
        <v>60</v>
      </c>
      <c r="G21" s="43">
        <f>L21</f>
        <v>222.8</v>
      </c>
      <c r="H21" s="42">
        <f>TRUNC(L21*L$12,2)</f>
        <v>284.35000000000002</v>
      </c>
      <c r="I21" s="42">
        <f>TRUNC(F21*H21,2)</f>
        <v>17061</v>
      </c>
      <c r="J21"/>
      <c r="K21" s="51">
        <f>3*20</f>
        <v>60</v>
      </c>
      <c r="L21" s="52">
        <v>222.8</v>
      </c>
      <c r="M21" s="46"/>
      <c r="N21" s="46"/>
      <c r="O21" s="47"/>
      <c r="P21" s="47"/>
      <c r="Q21" s="47"/>
      <c r="R21" s="48"/>
      <c r="S21" s="49"/>
    </row>
    <row r="22" spans="1:19" s="37" customFormat="1">
      <c r="A22" s="38"/>
      <c r="B22" s="32"/>
      <c r="C22" s="32"/>
      <c r="D22" s="32" t="s">
        <v>36</v>
      </c>
      <c r="E22" s="38"/>
      <c r="F22" s="38"/>
      <c r="G22" s="38"/>
      <c r="H22" s="38"/>
      <c r="I22" s="38">
        <f>TRUNC(SUM(I17:I21),2)</f>
        <v>69694.460000000006</v>
      </c>
      <c r="J22"/>
      <c r="K22" s="53"/>
      <c r="L22" s="35"/>
      <c r="M22" s="34"/>
      <c r="N22" s="54"/>
      <c r="O22" s="9"/>
      <c r="P22" s="9"/>
      <c r="Q22" s="9"/>
      <c r="R22" s="10"/>
      <c r="S22" s="36"/>
    </row>
    <row r="23" spans="1:19" s="37" customFormat="1" ht="6.75" customHeight="1">
      <c r="A23" s="55"/>
      <c r="B23" s="56"/>
      <c r="C23" s="56"/>
      <c r="D23" s="57"/>
      <c r="E23" s="58"/>
      <c r="F23" s="51"/>
      <c r="G23" s="51"/>
      <c r="H23" s="59"/>
      <c r="I23" s="58"/>
      <c r="J23"/>
      <c r="K23" s="53"/>
      <c r="L23" s="35"/>
      <c r="M23" s="34"/>
      <c r="N23" s="34"/>
      <c r="O23" s="9"/>
      <c r="P23" s="9"/>
      <c r="Q23" s="9"/>
      <c r="R23" s="10"/>
      <c r="S23" s="36"/>
    </row>
    <row r="24" spans="1:19" s="37" customFormat="1">
      <c r="A24" s="38" t="s">
        <v>37</v>
      </c>
      <c r="B24" s="32"/>
      <c r="C24" s="32"/>
      <c r="D24" s="32" t="s">
        <v>38</v>
      </c>
      <c r="E24" s="32"/>
      <c r="F24" s="32"/>
      <c r="G24" s="33"/>
      <c r="H24" s="32"/>
      <c r="I24" s="32"/>
      <c r="J24"/>
      <c r="K24" s="53"/>
      <c r="L24" s="35"/>
      <c r="M24" s="34"/>
      <c r="N24" s="34"/>
      <c r="O24" s="9"/>
      <c r="P24" s="9"/>
      <c r="Q24" s="9"/>
      <c r="R24" s="10"/>
      <c r="S24" s="36"/>
    </row>
    <row r="25" spans="1:19" s="61" customFormat="1" ht="22.5">
      <c r="A25" s="42" t="s">
        <v>39</v>
      </c>
      <c r="B25" s="40">
        <v>97647</v>
      </c>
      <c r="C25" s="40" t="s">
        <v>19</v>
      </c>
      <c r="D25" s="41" t="s">
        <v>40</v>
      </c>
      <c r="E25" s="42" t="s">
        <v>28</v>
      </c>
      <c r="F25" s="42">
        <f>TRUNC(K25,2)</f>
        <v>270.35000000000002</v>
      </c>
      <c r="G25" s="43">
        <f t="shared" ref="G25:G37" si="0">L25</f>
        <v>2.5099999999999998</v>
      </c>
      <c r="H25" s="42">
        <f t="shared" ref="H25:H37" si="1">TRUNC(L25*L$12,2)</f>
        <v>3.2</v>
      </c>
      <c r="I25" s="42">
        <f t="shared" ref="I25:I37" si="2">TRUNC(F25*H25,2)</f>
        <v>865.12</v>
      </c>
      <c r="J25"/>
      <c r="K25" s="51">
        <f>10.8*18.15+6.9*8.9+4.7*2.75</f>
        <v>270.35500000000002</v>
      </c>
      <c r="L25" s="52">
        <v>2.5099999999999998</v>
      </c>
      <c r="M25" s="60"/>
      <c r="N25" s="60"/>
      <c r="O25" s="47"/>
      <c r="P25" s="47"/>
      <c r="Q25" s="47"/>
      <c r="R25" s="48"/>
      <c r="S25" s="47"/>
    </row>
    <row r="26" spans="1:19" s="61" customFormat="1" ht="22.5">
      <c r="A26" s="42" t="s">
        <v>41</v>
      </c>
      <c r="B26" s="40">
        <v>97650</v>
      </c>
      <c r="C26" s="40" t="s">
        <v>19</v>
      </c>
      <c r="D26" s="41" t="s">
        <v>42</v>
      </c>
      <c r="E26" s="42" t="s">
        <v>28</v>
      </c>
      <c r="F26" s="42">
        <f>TRUNC(K26,2)</f>
        <v>270.35000000000002</v>
      </c>
      <c r="G26" s="43">
        <f t="shared" si="0"/>
        <v>5.41</v>
      </c>
      <c r="H26" s="42">
        <f t="shared" si="1"/>
        <v>6.9</v>
      </c>
      <c r="I26" s="42">
        <f t="shared" si="2"/>
        <v>1865.41</v>
      </c>
      <c r="J26"/>
      <c r="K26" s="51">
        <f>K25</f>
        <v>270.35500000000002</v>
      </c>
      <c r="L26" s="52">
        <v>5.41</v>
      </c>
      <c r="M26" s="60"/>
      <c r="N26" s="60"/>
      <c r="O26" s="47"/>
      <c r="P26" s="47"/>
      <c r="Q26" s="47"/>
      <c r="R26" s="48"/>
      <c r="S26" s="47"/>
    </row>
    <row r="27" spans="1:19" s="61" customFormat="1" ht="22.5">
      <c r="A27" s="42" t="s">
        <v>43</v>
      </c>
      <c r="B27" s="40">
        <v>97640</v>
      </c>
      <c r="C27" s="40" t="s">
        <v>19</v>
      </c>
      <c r="D27" s="41" t="s">
        <v>44</v>
      </c>
      <c r="E27" s="42" t="s">
        <v>28</v>
      </c>
      <c r="F27" s="42">
        <f>TRUNC(K27,2)</f>
        <v>252.33</v>
      </c>
      <c r="G27" s="43">
        <f t="shared" si="0"/>
        <v>1.18</v>
      </c>
      <c r="H27" s="42">
        <f t="shared" si="1"/>
        <v>1.5</v>
      </c>
      <c r="I27" s="42">
        <f t="shared" si="2"/>
        <v>378.49</v>
      </c>
      <c r="J27"/>
      <c r="K27" s="62">
        <f>11.97+3.78+42.37+7.2+12.18+5*4.7+4*4+65.75+33+14.53+1.67+4.26+4.27+2.95+8.9</f>
        <v>252.32999999999998</v>
      </c>
      <c r="L27" s="52">
        <v>1.18</v>
      </c>
      <c r="M27" s="60"/>
      <c r="N27" s="60"/>
      <c r="O27" s="47"/>
      <c r="P27" s="47"/>
      <c r="Q27" s="47"/>
      <c r="R27" s="48"/>
      <c r="S27" s="47"/>
    </row>
    <row r="28" spans="1:19" s="61" customFormat="1" ht="23.25">
      <c r="A28" s="42" t="s">
        <v>45</v>
      </c>
      <c r="B28" s="40">
        <v>97633</v>
      </c>
      <c r="C28" s="40" t="s">
        <v>19</v>
      </c>
      <c r="D28" s="41" t="s">
        <v>46</v>
      </c>
      <c r="E28" s="63" t="s">
        <v>28</v>
      </c>
      <c r="F28" s="42">
        <v>65.25</v>
      </c>
      <c r="G28" s="43">
        <f t="shared" si="0"/>
        <v>16.600000000000001</v>
      </c>
      <c r="H28" s="42">
        <f t="shared" si="1"/>
        <v>21.18</v>
      </c>
      <c r="I28" s="42">
        <f t="shared" si="2"/>
        <v>1381.99</v>
      </c>
      <c r="J28"/>
      <c r="K28" s="64">
        <f>(8.9+8.9+12.47+5.22+7.8)*2.8</f>
        <v>121.21199999999999</v>
      </c>
      <c r="L28" s="65">
        <v>16.600000000000001</v>
      </c>
      <c r="M28" s="60"/>
      <c r="N28" s="66" t="s">
        <v>47</v>
      </c>
      <c r="O28" s="47"/>
      <c r="P28" s="47"/>
      <c r="Q28" s="47"/>
      <c r="R28" s="51">
        <v>65.25</v>
      </c>
      <c r="S28" s="47"/>
    </row>
    <row r="29" spans="1:19" s="61" customFormat="1" ht="22.5">
      <c r="A29" s="42" t="s">
        <v>48</v>
      </c>
      <c r="B29" s="40">
        <v>97645</v>
      </c>
      <c r="C29" s="40" t="s">
        <v>19</v>
      </c>
      <c r="D29" s="41" t="s">
        <v>49</v>
      </c>
      <c r="E29" s="63" t="s">
        <v>28</v>
      </c>
      <c r="F29" s="42">
        <f t="shared" ref="F29:F37" si="3">TRUNC(K29,2)</f>
        <v>17.52</v>
      </c>
      <c r="G29" s="43">
        <f t="shared" si="0"/>
        <v>26.34</v>
      </c>
      <c r="H29" s="42">
        <f t="shared" si="1"/>
        <v>33.61</v>
      </c>
      <c r="I29" s="42">
        <f t="shared" si="2"/>
        <v>588.84</v>
      </c>
      <c r="J29"/>
      <c r="K29" s="67">
        <f>5*2*1.2+2*2*0.6+4*0.8*0.6+1.2*1</f>
        <v>17.52</v>
      </c>
      <c r="L29" s="52">
        <v>26.34</v>
      </c>
      <c r="M29" s="60"/>
      <c r="N29" s="60"/>
      <c r="O29" s="47"/>
      <c r="P29" s="47"/>
      <c r="Q29" s="47"/>
      <c r="R29" s="48"/>
      <c r="S29" s="47"/>
    </row>
    <row r="30" spans="1:19" s="61" customFormat="1" ht="22.5">
      <c r="A30" s="42" t="s">
        <v>50</v>
      </c>
      <c r="B30" s="40">
        <v>97644</v>
      </c>
      <c r="C30" s="40" t="s">
        <v>19</v>
      </c>
      <c r="D30" s="41" t="s">
        <v>51</v>
      </c>
      <c r="E30" s="42" t="s">
        <v>28</v>
      </c>
      <c r="F30" s="42">
        <f t="shared" si="3"/>
        <v>22.05</v>
      </c>
      <c r="G30" s="43">
        <f t="shared" si="0"/>
        <v>6.75</v>
      </c>
      <c r="H30" s="42">
        <f t="shared" si="1"/>
        <v>8.61</v>
      </c>
      <c r="I30" s="42">
        <f t="shared" si="2"/>
        <v>189.85</v>
      </c>
      <c r="J30"/>
      <c r="K30" s="60">
        <f>6*0.9*2.1+3*0.6*2.1+2*0.8*2.1+1*2.1+0.7*2.1</f>
        <v>22.05</v>
      </c>
      <c r="L30" s="52">
        <v>6.75</v>
      </c>
      <c r="M30" s="60"/>
      <c r="N30" s="60"/>
      <c r="O30" s="47"/>
      <c r="P30" s="47"/>
      <c r="Q30" s="47"/>
      <c r="R30" s="48"/>
      <c r="S30" s="47"/>
    </row>
    <row r="31" spans="1:19" s="61" customFormat="1" ht="22.5">
      <c r="A31" s="42" t="s">
        <v>52</v>
      </c>
      <c r="B31" s="40">
        <v>97631</v>
      </c>
      <c r="C31" s="40" t="s">
        <v>19</v>
      </c>
      <c r="D31" s="41" t="s">
        <v>53</v>
      </c>
      <c r="E31" s="42" t="s">
        <v>28</v>
      </c>
      <c r="F31" s="42">
        <f t="shared" si="3"/>
        <v>121.21</v>
      </c>
      <c r="G31" s="43">
        <f t="shared" si="0"/>
        <v>2.42</v>
      </c>
      <c r="H31" s="42">
        <f t="shared" si="1"/>
        <v>3.08</v>
      </c>
      <c r="I31" s="42">
        <f t="shared" si="2"/>
        <v>373.32</v>
      </c>
      <c r="J31"/>
      <c r="K31" s="52">
        <f>K28</f>
        <v>121.21199999999999</v>
      </c>
      <c r="L31" s="52">
        <v>2.42</v>
      </c>
      <c r="M31" s="68" t="s">
        <v>54</v>
      </c>
      <c r="N31" s="60"/>
      <c r="O31" s="47"/>
      <c r="P31" s="47"/>
      <c r="Q31" s="47"/>
      <c r="R31" s="48"/>
      <c r="S31" s="47"/>
    </row>
    <row r="32" spans="1:19" s="61" customFormat="1" ht="22.5">
      <c r="A32" s="42" t="s">
        <v>55</v>
      </c>
      <c r="B32" s="40">
        <v>97666</v>
      </c>
      <c r="C32" s="40" t="s">
        <v>19</v>
      </c>
      <c r="D32" s="41" t="s">
        <v>56</v>
      </c>
      <c r="E32" s="42" t="s">
        <v>32</v>
      </c>
      <c r="F32" s="42">
        <f t="shared" si="3"/>
        <v>8</v>
      </c>
      <c r="G32" s="43">
        <f t="shared" si="0"/>
        <v>6.56</v>
      </c>
      <c r="H32" s="42">
        <f t="shared" si="1"/>
        <v>8.3699999999999992</v>
      </c>
      <c r="I32" s="42">
        <f t="shared" si="2"/>
        <v>66.959999999999994</v>
      </c>
      <c r="J32"/>
      <c r="K32" s="51">
        <f>8</f>
        <v>8</v>
      </c>
      <c r="L32" s="52">
        <v>6.56</v>
      </c>
      <c r="M32" s="60"/>
      <c r="N32" s="60"/>
      <c r="O32" s="47"/>
      <c r="P32" s="47"/>
      <c r="Q32" s="47"/>
      <c r="R32" s="48"/>
      <c r="S32" s="47"/>
    </row>
    <row r="33" spans="1:20" s="71" customFormat="1" ht="22.5">
      <c r="A33" s="42" t="s">
        <v>57</v>
      </c>
      <c r="B33" s="40">
        <v>97622</v>
      </c>
      <c r="C33" s="40" t="s">
        <v>19</v>
      </c>
      <c r="D33" s="69" t="s">
        <v>58</v>
      </c>
      <c r="E33" s="42" t="s">
        <v>59</v>
      </c>
      <c r="F33" s="42">
        <f t="shared" si="3"/>
        <v>18.28</v>
      </c>
      <c r="G33" s="43">
        <f t="shared" si="0"/>
        <v>41.73</v>
      </c>
      <c r="H33" s="42">
        <f t="shared" si="1"/>
        <v>53.25</v>
      </c>
      <c r="I33" s="42">
        <f t="shared" si="2"/>
        <v>973.41</v>
      </c>
      <c r="J33"/>
      <c r="K33" s="60">
        <f>(2.73+2.6)*2.8+2*0.8*2.1</f>
        <v>18.283999999999999</v>
      </c>
      <c r="L33" s="52">
        <v>41.73</v>
      </c>
      <c r="M33" s="60">
        <f>(2.73+2.6)*2.8+2*0.8*2.1</f>
        <v>18.283999999999999</v>
      </c>
      <c r="N33" s="60"/>
      <c r="O33" s="60">
        <f>11.7/2</f>
        <v>5.85</v>
      </c>
      <c r="P33" s="47"/>
      <c r="Q33" s="47"/>
      <c r="R33" s="48"/>
      <c r="S33" s="70"/>
      <c r="T33" s="70"/>
    </row>
    <row r="34" spans="1:20" s="71" customFormat="1">
      <c r="A34" s="42" t="s">
        <v>60</v>
      </c>
      <c r="B34" s="40">
        <v>97663</v>
      </c>
      <c r="C34" s="40" t="s">
        <v>19</v>
      </c>
      <c r="D34" s="69" t="s">
        <v>61</v>
      </c>
      <c r="E34" s="42" t="s">
        <v>32</v>
      </c>
      <c r="F34" s="42">
        <f t="shared" si="3"/>
        <v>1</v>
      </c>
      <c r="G34" s="43">
        <f t="shared" si="0"/>
        <v>9</v>
      </c>
      <c r="H34" s="42">
        <f t="shared" si="1"/>
        <v>11.48</v>
      </c>
      <c r="I34" s="42">
        <f t="shared" si="2"/>
        <v>11.48</v>
      </c>
      <c r="J34"/>
      <c r="K34" s="51">
        <v>1</v>
      </c>
      <c r="L34" s="52">
        <v>9</v>
      </c>
      <c r="M34" s="60"/>
      <c r="N34" s="60"/>
      <c r="O34" s="47"/>
      <c r="P34" s="47"/>
      <c r="Q34" s="47"/>
      <c r="R34" s="48"/>
      <c r="S34" s="70"/>
      <c r="T34" s="70"/>
    </row>
    <row r="35" spans="1:20" s="71" customFormat="1">
      <c r="A35" s="42" t="s">
        <v>62</v>
      </c>
      <c r="B35" s="40">
        <v>97663</v>
      </c>
      <c r="C35" s="40" t="s">
        <v>19</v>
      </c>
      <c r="D35" s="69" t="s">
        <v>63</v>
      </c>
      <c r="E35" s="42" t="s">
        <v>32</v>
      </c>
      <c r="F35" s="42">
        <f t="shared" si="3"/>
        <v>4</v>
      </c>
      <c r="G35" s="43">
        <f t="shared" si="0"/>
        <v>9</v>
      </c>
      <c r="H35" s="42">
        <f t="shared" si="1"/>
        <v>11.48</v>
      </c>
      <c r="I35" s="42">
        <f t="shared" si="2"/>
        <v>45.92</v>
      </c>
      <c r="J35"/>
      <c r="K35" s="51">
        <v>4</v>
      </c>
      <c r="L35" s="52">
        <v>9</v>
      </c>
      <c r="M35" s="60"/>
      <c r="N35" s="60"/>
      <c r="O35" s="47"/>
      <c r="P35" s="47"/>
      <c r="Q35" s="47"/>
      <c r="R35" s="48"/>
      <c r="S35" s="70"/>
      <c r="T35" s="70"/>
    </row>
    <row r="36" spans="1:20" s="71" customFormat="1">
      <c r="A36" s="42" t="s">
        <v>64</v>
      </c>
      <c r="B36" s="40">
        <v>97663</v>
      </c>
      <c r="C36" s="40" t="s">
        <v>19</v>
      </c>
      <c r="D36" s="69" t="s">
        <v>65</v>
      </c>
      <c r="E36" s="42" t="s">
        <v>32</v>
      </c>
      <c r="F36" s="42">
        <f t="shared" si="3"/>
        <v>4</v>
      </c>
      <c r="G36" s="43">
        <f t="shared" si="0"/>
        <v>9</v>
      </c>
      <c r="H36" s="42">
        <f t="shared" si="1"/>
        <v>11.48</v>
      </c>
      <c r="I36" s="42">
        <f t="shared" si="2"/>
        <v>45.92</v>
      </c>
      <c r="J36"/>
      <c r="K36" s="51">
        <v>4</v>
      </c>
      <c r="L36" s="52">
        <v>9</v>
      </c>
      <c r="M36" s="60"/>
      <c r="N36" s="60"/>
      <c r="O36" s="47"/>
      <c r="P36" s="47"/>
      <c r="Q36" s="47"/>
      <c r="R36" s="48"/>
      <c r="S36" s="70"/>
      <c r="T36" s="70"/>
    </row>
    <row r="37" spans="1:20" s="71" customFormat="1">
      <c r="A37" s="42" t="s">
        <v>66</v>
      </c>
      <c r="B37" s="40" t="s">
        <v>25</v>
      </c>
      <c r="C37" s="40" t="s">
        <v>67</v>
      </c>
      <c r="D37" s="69" t="s">
        <v>68</v>
      </c>
      <c r="E37" s="42" t="s">
        <v>59</v>
      </c>
      <c r="F37" s="42">
        <f t="shared" si="3"/>
        <v>17.940000000000001</v>
      </c>
      <c r="G37" s="43">
        <f t="shared" si="0"/>
        <v>234.23</v>
      </c>
      <c r="H37" s="42">
        <f t="shared" si="1"/>
        <v>298.94</v>
      </c>
      <c r="I37" s="42">
        <f t="shared" si="2"/>
        <v>5362.98</v>
      </c>
      <c r="J37"/>
      <c r="K37" s="51">
        <f>(33+16.6+4.26+4.27+12.5+2.95+20.6+65.23+5.4+12.18+7.2+3.78+11.97+42.37+3.75*3.75)*0.07</f>
        <v>17.946075000000008</v>
      </c>
      <c r="L37" s="52">
        <v>234.23</v>
      </c>
      <c r="M37" s="60">
        <f>(33+16.6+4.26+4.27+12.5+2.95+20.6+65.23+5.4+12.18+7.2+3.78+11.97+42.37)*0.05</f>
        <v>12.115500000000003</v>
      </c>
      <c r="N37" s="60" t="s">
        <v>69</v>
      </c>
      <c r="O37" s="47"/>
      <c r="P37" s="47"/>
      <c r="Q37" s="47"/>
      <c r="R37" s="48"/>
      <c r="S37" s="70"/>
      <c r="T37" s="70"/>
    </row>
    <row r="38" spans="1:20" s="76" customFormat="1">
      <c r="A38" s="38"/>
      <c r="B38" s="38"/>
      <c r="C38" s="38"/>
      <c r="D38" s="32" t="s">
        <v>36</v>
      </c>
      <c r="E38" s="38"/>
      <c r="F38" s="38"/>
      <c r="G38" s="38"/>
      <c r="H38" s="38"/>
      <c r="I38" s="38">
        <f>TRUNC(SUM(I25:I37),2)</f>
        <v>12149.69</v>
      </c>
      <c r="J38"/>
      <c r="K38" s="53"/>
      <c r="L38" s="35"/>
      <c r="M38" s="72"/>
      <c r="N38" s="72"/>
      <c r="O38" s="73"/>
      <c r="P38" s="73"/>
      <c r="Q38" s="73"/>
      <c r="R38" s="74"/>
      <c r="S38" s="75"/>
      <c r="T38" s="73"/>
    </row>
    <row r="39" spans="1:20" s="37" customFormat="1" ht="9.75" customHeight="1">
      <c r="A39" s="55"/>
      <c r="B39" s="77"/>
      <c r="C39" s="77"/>
      <c r="D39" s="57"/>
      <c r="E39" s="58"/>
      <c r="F39" s="51"/>
      <c r="G39" s="51"/>
      <c r="H39" s="59"/>
      <c r="I39" s="59"/>
      <c r="J39"/>
      <c r="K39" s="78"/>
      <c r="L39" s="52"/>
      <c r="M39" s="7"/>
      <c r="N39" s="7"/>
      <c r="O39" s="9"/>
      <c r="P39" s="9"/>
      <c r="Q39" s="9"/>
      <c r="R39" s="10"/>
      <c r="S39" s="36"/>
      <c r="T39" s="11"/>
    </row>
    <row r="40" spans="1:20" s="37" customFormat="1">
      <c r="A40" s="38" t="s">
        <v>70</v>
      </c>
      <c r="B40" s="38"/>
      <c r="C40" s="38"/>
      <c r="D40" s="32" t="s">
        <v>71</v>
      </c>
      <c r="E40" s="32"/>
      <c r="F40" s="32"/>
      <c r="G40" s="33"/>
      <c r="H40" s="32"/>
      <c r="I40" s="32"/>
      <c r="J40"/>
      <c r="K40" s="78"/>
      <c r="L40" s="52"/>
      <c r="M40" s="7"/>
      <c r="N40" s="7"/>
      <c r="O40" s="9"/>
      <c r="P40" s="9"/>
      <c r="Q40" s="9"/>
      <c r="R40" s="10"/>
      <c r="S40" s="36"/>
      <c r="T40" s="11"/>
    </row>
    <row r="41" spans="1:20" s="50" customFormat="1" ht="22.5">
      <c r="A41" s="42" t="s">
        <v>72</v>
      </c>
      <c r="B41" s="40">
        <v>93358</v>
      </c>
      <c r="C41" s="40" t="s">
        <v>19</v>
      </c>
      <c r="D41" s="69" t="s">
        <v>73</v>
      </c>
      <c r="E41" s="42" t="s">
        <v>59</v>
      </c>
      <c r="F41" s="42">
        <v>2.23</v>
      </c>
      <c r="G41" s="43">
        <f>L41</f>
        <v>63.37</v>
      </c>
      <c r="H41" s="42">
        <f>TRUNC(L41*L$12,2)</f>
        <v>80.87</v>
      </c>
      <c r="I41" s="42">
        <f>TRUNC(F41*H41,2)</f>
        <v>180.34</v>
      </c>
      <c r="J41"/>
      <c r="K41" s="51">
        <v>2.23</v>
      </c>
      <c r="L41" s="52">
        <v>63.37</v>
      </c>
      <c r="M41" s="60"/>
      <c r="N41" s="68" t="s">
        <v>74</v>
      </c>
      <c r="O41" s="47"/>
      <c r="P41" s="47"/>
      <c r="Q41" s="47"/>
      <c r="R41" s="48"/>
      <c r="S41" s="49"/>
      <c r="T41" s="70"/>
    </row>
    <row r="42" spans="1:20" s="50" customFormat="1">
      <c r="A42" s="42" t="s">
        <v>75</v>
      </c>
      <c r="B42" s="40">
        <v>96995</v>
      </c>
      <c r="C42" s="40" t="s">
        <v>19</v>
      </c>
      <c r="D42" s="69" t="s">
        <v>76</v>
      </c>
      <c r="E42" s="42" t="s">
        <v>59</v>
      </c>
      <c r="F42" s="42">
        <v>0.8</v>
      </c>
      <c r="G42" s="43">
        <f>L42</f>
        <v>38.42</v>
      </c>
      <c r="H42" s="42">
        <f>TRUNC(L42*L$12,2)</f>
        <v>49.03</v>
      </c>
      <c r="I42" s="42">
        <f>TRUNC(F42*H42,2)</f>
        <v>39.22</v>
      </c>
      <c r="J42"/>
      <c r="K42" s="51">
        <v>0.8</v>
      </c>
      <c r="L42" s="52">
        <v>38.42</v>
      </c>
      <c r="M42" s="60"/>
      <c r="N42" s="60"/>
      <c r="O42" s="47"/>
      <c r="P42" s="47"/>
      <c r="Q42" s="47"/>
      <c r="R42" s="48"/>
      <c r="S42" s="49"/>
      <c r="T42" s="70"/>
    </row>
    <row r="43" spans="1:20" s="37" customFormat="1">
      <c r="A43" s="38"/>
      <c r="B43" s="38"/>
      <c r="C43" s="38"/>
      <c r="D43" s="32" t="s">
        <v>36</v>
      </c>
      <c r="E43" s="38"/>
      <c r="F43" s="38"/>
      <c r="G43" s="38"/>
      <c r="H43" s="38"/>
      <c r="I43" s="38">
        <f>TRUNC(SUM(I41:I42),2)</f>
        <v>219.56</v>
      </c>
      <c r="J43"/>
      <c r="K43" s="53"/>
      <c r="L43" s="35"/>
      <c r="M43" s="72"/>
      <c r="N43" s="72"/>
      <c r="O43" s="9">
        <f>11.77+4.15</f>
        <v>15.92</v>
      </c>
      <c r="P43" s="9"/>
      <c r="Q43" s="9"/>
      <c r="R43" s="10"/>
      <c r="S43" s="36"/>
      <c r="T43" s="11"/>
    </row>
    <row r="44" spans="1:20" s="37" customFormat="1" ht="7.5" customHeight="1">
      <c r="A44" s="79"/>
      <c r="B44" s="80"/>
      <c r="C44" s="80"/>
      <c r="D44" s="81"/>
      <c r="E44" s="82"/>
      <c r="F44" s="51"/>
      <c r="G44" s="51"/>
      <c r="H44" s="59"/>
      <c r="I44" s="83"/>
      <c r="J44"/>
      <c r="K44" s="78"/>
      <c r="L44" s="52"/>
      <c r="M44" s="7"/>
      <c r="N44" s="7"/>
      <c r="O44" s="9"/>
      <c r="P44" s="9"/>
      <c r="Q44" s="9"/>
      <c r="R44" s="10"/>
      <c r="S44" s="36"/>
      <c r="T44" s="11"/>
    </row>
    <row r="45" spans="1:20" s="37" customFormat="1">
      <c r="A45" s="38" t="s">
        <v>77</v>
      </c>
      <c r="B45" s="38"/>
      <c r="C45" s="38"/>
      <c r="D45" s="32" t="s">
        <v>78</v>
      </c>
      <c r="E45" s="32"/>
      <c r="F45" s="32"/>
      <c r="G45" s="33"/>
      <c r="H45" s="32"/>
      <c r="I45" s="32"/>
      <c r="J45"/>
      <c r="K45" s="78"/>
      <c r="L45" s="52"/>
      <c r="M45" s="7"/>
      <c r="N45" s="7"/>
      <c r="O45" s="9"/>
      <c r="P45" s="9"/>
      <c r="Q45" s="9"/>
      <c r="R45" s="10"/>
      <c r="S45" s="36"/>
      <c r="T45" s="11"/>
    </row>
    <row r="46" spans="1:20" s="50" customFormat="1" ht="33.75">
      <c r="A46" s="84" t="s">
        <v>79</v>
      </c>
      <c r="B46" s="40">
        <v>94962</v>
      </c>
      <c r="C46" s="40" t="s">
        <v>19</v>
      </c>
      <c r="D46" s="69" t="s">
        <v>80</v>
      </c>
      <c r="E46" s="42" t="s">
        <v>59</v>
      </c>
      <c r="F46" s="42">
        <f t="shared" ref="F46:G52" si="4">K46</f>
        <v>0.28999999999999998</v>
      </c>
      <c r="G46" s="43">
        <f t="shared" si="4"/>
        <v>403.69</v>
      </c>
      <c r="H46" s="42">
        <f t="shared" ref="H46:H52" si="5">TRUNC(L46*L$12,2)</f>
        <v>515.22</v>
      </c>
      <c r="I46" s="42">
        <f t="shared" ref="I46:I52" si="6">TRUNC(F46*H46,2)</f>
        <v>149.41</v>
      </c>
      <c r="J46"/>
      <c r="K46" s="51">
        <v>0.28999999999999998</v>
      </c>
      <c r="L46" s="52">
        <v>403.69</v>
      </c>
      <c r="M46" s="60"/>
      <c r="N46" s="60"/>
      <c r="O46" s="68" t="s">
        <v>74</v>
      </c>
      <c r="P46" s="47"/>
      <c r="Q46" s="47"/>
      <c r="R46" s="48"/>
      <c r="S46" s="49"/>
      <c r="T46" s="70"/>
    </row>
    <row r="47" spans="1:20" s="50" customFormat="1" ht="22.5">
      <c r="A47" s="84" t="s">
        <v>81</v>
      </c>
      <c r="B47" s="40">
        <v>94971</v>
      </c>
      <c r="C47" s="40" t="s">
        <v>19</v>
      </c>
      <c r="D47" s="69" t="s">
        <v>82</v>
      </c>
      <c r="E47" s="42" t="s">
        <v>59</v>
      </c>
      <c r="F47" s="42">
        <f t="shared" si="4"/>
        <v>1.05</v>
      </c>
      <c r="G47" s="43">
        <f t="shared" si="4"/>
        <v>521.88</v>
      </c>
      <c r="H47" s="42">
        <f t="shared" si="5"/>
        <v>666.07</v>
      </c>
      <c r="I47" s="42">
        <f t="shared" si="6"/>
        <v>699.37</v>
      </c>
      <c r="J47"/>
      <c r="K47" s="51">
        <v>1.05</v>
      </c>
      <c r="L47" s="52">
        <v>521.88</v>
      </c>
      <c r="M47" s="60">
        <f>(0.8*0.8*6*0.2+(23.98+6)*0.4)*0.05</f>
        <v>0.63800000000000012</v>
      </c>
      <c r="N47" s="60">
        <f>0.8*0.8*6*0.2+(23.98+6)*0.15*0.3+6*0.15*0.3*0.6</f>
        <v>2.2791000000000001</v>
      </c>
      <c r="O47" s="68" t="s">
        <v>74</v>
      </c>
      <c r="P47" s="47"/>
      <c r="Q47" s="47"/>
      <c r="R47" s="48"/>
      <c r="S47" s="49"/>
      <c r="T47" s="70"/>
    </row>
    <row r="48" spans="1:20" s="91" customFormat="1" ht="22.5">
      <c r="A48" s="84" t="s">
        <v>83</v>
      </c>
      <c r="B48" s="85">
        <v>103670</v>
      </c>
      <c r="C48" s="40" t="s">
        <v>19</v>
      </c>
      <c r="D48" s="69" t="s">
        <v>84</v>
      </c>
      <c r="E48" s="42" t="s">
        <v>59</v>
      </c>
      <c r="F48" s="42">
        <f t="shared" si="4"/>
        <v>1.05</v>
      </c>
      <c r="G48" s="43">
        <f t="shared" si="4"/>
        <v>218.17</v>
      </c>
      <c r="H48" s="42">
        <f t="shared" si="5"/>
        <v>278.45</v>
      </c>
      <c r="I48" s="42">
        <f t="shared" si="6"/>
        <v>292.37</v>
      </c>
      <c r="J48"/>
      <c r="K48" s="52">
        <f>K47</f>
        <v>1.05</v>
      </c>
      <c r="L48" s="52">
        <v>218.17</v>
      </c>
      <c r="M48" s="86"/>
      <c r="N48" s="86"/>
      <c r="O48" s="8" t="s">
        <v>74</v>
      </c>
      <c r="P48" s="87"/>
      <c r="Q48" s="8"/>
      <c r="R48" s="88"/>
      <c r="S48" s="89"/>
      <c r="T48" s="90"/>
    </row>
    <row r="49" spans="1:20" s="50" customFormat="1" ht="25.5" customHeight="1">
      <c r="A49" s="84" t="s">
        <v>85</v>
      </c>
      <c r="B49" s="40">
        <v>96536</v>
      </c>
      <c r="C49" s="40" t="s">
        <v>19</v>
      </c>
      <c r="D49" s="69" t="s">
        <v>86</v>
      </c>
      <c r="E49" s="42" t="s">
        <v>28</v>
      </c>
      <c r="F49" s="42">
        <f t="shared" si="4"/>
        <v>14.25</v>
      </c>
      <c r="G49" s="43">
        <f t="shared" si="4"/>
        <v>66.900000000000006</v>
      </c>
      <c r="H49" s="42">
        <f t="shared" si="5"/>
        <v>85.38</v>
      </c>
      <c r="I49" s="42">
        <f t="shared" si="6"/>
        <v>1216.6600000000001</v>
      </c>
      <c r="J49"/>
      <c r="K49" s="51">
        <v>14.25</v>
      </c>
      <c r="L49" s="52">
        <v>66.900000000000006</v>
      </c>
      <c r="M49" s="60">
        <f>3.2*6*0.2+(23.98+6)*0.75+6*0.9*0.6*6</f>
        <v>45.765000000000001</v>
      </c>
      <c r="N49" s="92" t="s">
        <v>87</v>
      </c>
      <c r="O49" s="68" t="s">
        <v>74</v>
      </c>
      <c r="P49" s="47"/>
      <c r="Q49" s="47"/>
      <c r="R49" s="48"/>
      <c r="S49" s="49"/>
      <c r="T49" s="70"/>
    </row>
    <row r="50" spans="1:20" s="91" customFormat="1" ht="45">
      <c r="A50" s="84" t="s">
        <v>88</v>
      </c>
      <c r="B50" s="85">
        <v>92919</v>
      </c>
      <c r="C50" s="40" t="s">
        <v>19</v>
      </c>
      <c r="D50" s="69" t="s">
        <v>89</v>
      </c>
      <c r="E50" s="42" t="s">
        <v>90</v>
      </c>
      <c r="F50" s="42">
        <f t="shared" si="4"/>
        <v>58.8</v>
      </c>
      <c r="G50" s="43">
        <f t="shared" si="4"/>
        <v>16</v>
      </c>
      <c r="H50" s="42">
        <f t="shared" si="5"/>
        <v>20.420000000000002</v>
      </c>
      <c r="I50" s="42">
        <f t="shared" si="6"/>
        <v>1200.69</v>
      </c>
      <c r="J50"/>
      <c r="K50" s="52">
        <f>K47*80*0.7</f>
        <v>58.8</v>
      </c>
      <c r="L50" s="52">
        <v>16</v>
      </c>
      <c r="M50" s="8"/>
      <c r="N50" s="8"/>
      <c r="O50" s="68" t="s">
        <v>74</v>
      </c>
      <c r="P50" s="87"/>
      <c r="Q50" s="87"/>
      <c r="R50" s="88"/>
      <c r="S50" s="89"/>
      <c r="T50" s="90"/>
    </row>
    <row r="51" spans="1:20" s="50" customFormat="1" ht="45">
      <c r="A51" s="84" t="s">
        <v>91</v>
      </c>
      <c r="B51" s="85">
        <v>92916</v>
      </c>
      <c r="C51" s="40" t="s">
        <v>19</v>
      </c>
      <c r="D51" s="69" t="s">
        <v>92</v>
      </c>
      <c r="E51" s="42" t="s">
        <v>90</v>
      </c>
      <c r="F51" s="42">
        <f t="shared" si="4"/>
        <v>26.35</v>
      </c>
      <c r="G51" s="43">
        <f t="shared" si="4"/>
        <v>18.45</v>
      </c>
      <c r="H51" s="42">
        <f t="shared" si="5"/>
        <v>23.54</v>
      </c>
      <c r="I51" s="42">
        <f t="shared" si="6"/>
        <v>620.27</v>
      </c>
      <c r="J51"/>
      <c r="K51" s="51">
        <v>26.35</v>
      </c>
      <c r="L51" s="52">
        <v>18.45</v>
      </c>
      <c r="M51" s="60"/>
      <c r="N51" s="60"/>
      <c r="O51" s="68" t="s">
        <v>74</v>
      </c>
      <c r="P51" s="47"/>
      <c r="Q51" s="47"/>
      <c r="R51" s="48"/>
      <c r="S51" s="49"/>
      <c r="T51" s="70"/>
    </row>
    <row r="52" spans="1:20" s="50" customFormat="1" ht="33.75">
      <c r="A52" s="84" t="s">
        <v>93</v>
      </c>
      <c r="B52" s="40">
        <v>101165</v>
      </c>
      <c r="C52" s="40" t="s">
        <v>19</v>
      </c>
      <c r="D52" s="69" t="s">
        <v>94</v>
      </c>
      <c r="E52" s="42" t="s">
        <v>59</v>
      </c>
      <c r="F52" s="42">
        <f t="shared" si="4"/>
        <v>0.71</v>
      </c>
      <c r="G52" s="43">
        <f t="shared" si="4"/>
        <v>854.54</v>
      </c>
      <c r="H52" s="42">
        <f t="shared" si="5"/>
        <v>1090.6400000000001</v>
      </c>
      <c r="I52" s="42">
        <f t="shared" si="6"/>
        <v>774.35</v>
      </c>
      <c r="J52"/>
      <c r="K52" s="51">
        <v>0.71</v>
      </c>
      <c r="L52" s="52">
        <v>854.54</v>
      </c>
      <c r="M52" s="60"/>
      <c r="N52" s="60"/>
      <c r="O52" s="68" t="s">
        <v>74</v>
      </c>
      <c r="P52" s="47"/>
      <c r="Q52" s="47"/>
      <c r="R52" s="48"/>
      <c r="S52" s="49"/>
      <c r="T52" s="70"/>
    </row>
    <row r="53" spans="1:20" s="76" customFormat="1">
      <c r="A53" s="38"/>
      <c r="B53" s="38"/>
      <c r="C53" s="38"/>
      <c r="D53" s="32" t="s">
        <v>36</v>
      </c>
      <c r="E53" s="38"/>
      <c r="F53" s="38"/>
      <c r="G53" s="38"/>
      <c r="H53" s="38"/>
      <c r="I53" s="38">
        <f>TRUNC(SUM(I46:I52),2)</f>
        <v>4953.12</v>
      </c>
      <c r="J53"/>
      <c r="K53" s="53"/>
      <c r="L53" s="35"/>
      <c r="M53" s="72"/>
      <c r="N53" s="72"/>
      <c r="O53" s="73"/>
      <c r="P53" s="73"/>
      <c r="Q53" s="73"/>
      <c r="R53" s="74"/>
      <c r="S53" s="75"/>
      <c r="T53" s="75"/>
    </row>
    <row r="54" spans="1:20" s="37" customFormat="1" ht="6.75" customHeight="1">
      <c r="A54" s="79"/>
      <c r="B54" s="80"/>
      <c r="C54" s="80"/>
      <c r="D54" s="81"/>
      <c r="E54" s="82"/>
      <c r="F54" s="51"/>
      <c r="G54" s="51"/>
      <c r="H54" s="59"/>
      <c r="I54" s="83"/>
      <c r="J54"/>
      <c r="K54" s="78"/>
      <c r="L54" s="52"/>
      <c r="M54" s="7"/>
      <c r="N54" s="7"/>
      <c r="O54" s="9"/>
      <c r="P54" s="9"/>
      <c r="Q54" s="9"/>
      <c r="R54" s="10"/>
      <c r="S54" s="36"/>
      <c r="T54" s="11"/>
    </row>
    <row r="55" spans="1:20" s="37" customFormat="1">
      <c r="A55" s="38" t="s">
        <v>95</v>
      </c>
      <c r="B55" s="38"/>
      <c r="C55" s="38"/>
      <c r="D55" s="32" t="s">
        <v>96</v>
      </c>
      <c r="E55" s="32"/>
      <c r="F55" s="32"/>
      <c r="G55" s="33"/>
      <c r="H55" s="32"/>
      <c r="I55" s="32"/>
      <c r="J55"/>
      <c r="K55" s="78"/>
      <c r="L55" s="52"/>
      <c r="M55" s="7"/>
      <c r="N55" s="7"/>
      <c r="O55" s="9"/>
      <c r="P55" s="9"/>
      <c r="Q55" s="9"/>
      <c r="R55" s="10"/>
      <c r="S55" s="36"/>
      <c r="T55" s="11"/>
    </row>
    <row r="56" spans="1:20" s="50" customFormat="1" ht="22.5">
      <c r="A56" s="84" t="s">
        <v>97</v>
      </c>
      <c r="B56" s="40">
        <v>94971</v>
      </c>
      <c r="C56" s="40" t="s">
        <v>19</v>
      </c>
      <c r="D56" s="69" t="s">
        <v>82</v>
      </c>
      <c r="E56" s="42" t="s">
        <v>59</v>
      </c>
      <c r="F56" s="42">
        <f t="shared" ref="F56:G61" si="7">K56</f>
        <v>3.6740000000000004</v>
      </c>
      <c r="G56" s="43">
        <f t="shared" si="7"/>
        <v>521.88</v>
      </c>
      <c r="H56" s="42">
        <f t="shared" ref="H56:H61" si="8">TRUNC(L56*L$12,2)</f>
        <v>666.07</v>
      </c>
      <c r="I56" s="42">
        <f t="shared" ref="I56:I61" si="9">TRUNC(F56*H56,2)</f>
        <v>2447.14</v>
      </c>
      <c r="J56"/>
      <c r="K56" s="51">
        <f>2.81+6.15*0.15*0.4+2*0.15*0.3*5.5</f>
        <v>3.6740000000000004</v>
      </c>
      <c r="L56" s="52">
        <v>521.88</v>
      </c>
      <c r="M56" s="60">
        <f>10.8+18.15+10.8+6.9+8.9+6.9</f>
        <v>62.449999999999996</v>
      </c>
      <c r="N56" s="51">
        <f>2.81+6.15*0.15*0.4+2*0.15*0.3*5.5</f>
        <v>3.6740000000000004</v>
      </c>
      <c r="O56" s="68" t="s">
        <v>74</v>
      </c>
      <c r="P56" s="47"/>
      <c r="Q56" s="47"/>
      <c r="R56" s="48"/>
      <c r="S56" s="49"/>
      <c r="T56" s="70"/>
    </row>
    <row r="57" spans="1:20" s="91" customFormat="1" ht="22.5">
      <c r="A57" s="84" t="s">
        <v>98</v>
      </c>
      <c r="B57" s="40">
        <v>103670</v>
      </c>
      <c r="C57" s="40" t="s">
        <v>19</v>
      </c>
      <c r="D57" s="69" t="s">
        <v>84</v>
      </c>
      <c r="E57" s="42" t="s">
        <v>59</v>
      </c>
      <c r="F57" s="42">
        <f t="shared" si="7"/>
        <v>3.6740000000000004</v>
      </c>
      <c r="G57" s="43">
        <f t="shared" si="7"/>
        <v>218.17</v>
      </c>
      <c r="H57" s="42">
        <f t="shared" si="8"/>
        <v>278.45</v>
      </c>
      <c r="I57" s="42">
        <f t="shared" si="9"/>
        <v>1023.02</v>
      </c>
      <c r="J57"/>
      <c r="K57" s="52">
        <f>K56</f>
        <v>3.6740000000000004</v>
      </c>
      <c r="L57" s="52">
        <v>218.17</v>
      </c>
      <c r="M57" s="86"/>
      <c r="N57" s="86"/>
      <c r="O57" s="8" t="s">
        <v>74</v>
      </c>
      <c r="P57" s="87"/>
      <c r="Q57" s="87"/>
      <c r="R57" s="88"/>
      <c r="S57" s="89"/>
      <c r="T57" s="90"/>
    </row>
    <row r="58" spans="1:20" s="50" customFormat="1" ht="33.75">
      <c r="A58" s="84" t="s">
        <v>99</v>
      </c>
      <c r="B58" s="40">
        <v>92411</v>
      </c>
      <c r="C58" s="40" t="s">
        <v>19</v>
      </c>
      <c r="D58" s="69" t="s">
        <v>100</v>
      </c>
      <c r="E58" s="42" t="s">
        <v>28</v>
      </c>
      <c r="F58" s="42">
        <f t="shared" si="7"/>
        <v>39.65</v>
      </c>
      <c r="G58" s="43">
        <f t="shared" si="7"/>
        <v>170.17</v>
      </c>
      <c r="H58" s="42">
        <f t="shared" si="8"/>
        <v>217.18</v>
      </c>
      <c r="I58" s="42">
        <f t="shared" si="9"/>
        <v>8611.18</v>
      </c>
      <c r="J58"/>
      <c r="K58" s="51">
        <v>39.65</v>
      </c>
      <c r="L58" s="52">
        <v>170.17</v>
      </c>
      <c r="M58" s="92"/>
      <c r="N58" s="92"/>
      <c r="O58" s="68" t="s">
        <v>74</v>
      </c>
      <c r="P58" s="47"/>
      <c r="Q58" s="47"/>
      <c r="R58" s="48"/>
      <c r="S58" s="49"/>
      <c r="T58" s="70"/>
    </row>
    <row r="59" spans="1:20" s="91" customFormat="1" ht="33.75">
      <c r="A59" s="84" t="s">
        <v>101</v>
      </c>
      <c r="B59" s="40">
        <v>92762</v>
      </c>
      <c r="C59" s="40" t="s">
        <v>19</v>
      </c>
      <c r="D59" s="69" t="s">
        <v>102</v>
      </c>
      <c r="E59" s="42" t="s">
        <v>90</v>
      </c>
      <c r="F59" s="42">
        <f t="shared" si="7"/>
        <v>155.25</v>
      </c>
      <c r="G59" s="43">
        <f t="shared" si="7"/>
        <v>15.29</v>
      </c>
      <c r="H59" s="42">
        <f t="shared" si="8"/>
        <v>19.510000000000002</v>
      </c>
      <c r="I59" s="42">
        <f t="shared" si="9"/>
        <v>3028.92</v>
      </c>
      <c r="J59"/>
      <c r="K59" s="52">
        <v>155.25</v>
      </c>
      <c r="L59" s="52">
        <v>15.29</v>
      </c>
      <c r="M59" s="8"/>
      <c r="N59" s="8"/>
      <c r="O59" s="68" t="s">
        <v>74</v>
      </c>
      <c r="P59" s="87"/>
      <c r="Q59" s="87"/>
      <c r="R59" s="88"/>
      <c r="S59" s="89"/>
      <c r="T59" s="90"/>
    </row>
    <row r="60" spans="1:20" s="50" customFormat="1" ht="33.75">
      <c r="A60" s="84" t="s">
        <v>103</v>
      </c>
      <c r="B60" s="40">
        <v>92759</v>
      </c>
      <c r="C60" s="40" t="s">
        <v>19</v>
      </c>
      <c r="D60" s="69" t="s">
        <v>104</v>
      </c>
      <c r="E60" s="42" t="s">
        <v>90</v>
      </c>
      <c r="F60" s="42">
        <f t="shared" si="7"/>
        <v>88.176000000000002</v>
      </c>
      <c r="G60" s="43">
        <f t="shared" si="7"/>
        <v>16.899999999999999</v>
      </c>
      <c r="H60" s="42">
        <f t="shared" si="8"/>
        <v>21.56</v>
      </c>
      <c r="I60" s="42">
        <f t="shared" si="9"/>
        <v>1901.07</v>
      </c>
      <c r="J60"/>
      <c r="K60" s="51">
        <f>K56*80*0.3</f>
        <v>88.176000000000002</v>
      </c>
      <c r="L60" s="52">
        <v>16.899999999999999</v>
      </c>
      <c r="M60" s="92"/>
      <c r="N60" s="92"/>
      <c r="O60" s="68" t="s">
        <v>74</v>
      </c>
      <c r="P60" s="47"/>
      <c r="Q60" s="47"/>
      <c r="R60" s="48"/>
      <c r="S60" s="49"/>
      <c r="T60" s="70"/>
    </row>
    <row r="61" spans="1:20" s="50" customFormat="1" ht="33.75">
      <c r="A61" s="84" t="s">
        <v>105</v>
      </c>
      <c r="B61" s="40">
        <v>101964</v>
      </c>
      <c r="C61" s="40" t="s">
        <v>19</v>
      </c>
      <c r="D61" s="69" t="s">
        <v>106</v>
      </c>
      <c r="E61" s="42" t="s">
        <v>28</v>
      </c>
      <c r="F61" s="42">
        <f t="shared" si="7"/>
        <v>8.4</v>
      </c>
      <c r="G61" s="43">
        <f t="shared" si="7"/>
        <v>188.61</v>
      </c>
      <c r="H61" s="42">
        <f t="shared" si="8"/>
        <v>240.72</v>
      </c>
      <c r="I61" s="42">
        <f t="shared" si="9"/>
        <v>2022.04</v>
      </c>
      <c r="J61"/>
      <c r="K61" s="51">
        <f>4*2.1</f>
        <v>8.4</v>
      </c>
      <c r="L61" s="52">
        <v>188.61</v>
      </c>
      <c r="M61" s="92"/>
      <c r="N61" s="92"/>
      <c r="O61" s="68"/>
      <c r="P61" s="47"/>
      <c r="Q61" s="47"/>
      <c r="R61" s="48"/>
      <c r="S61" s="49"/>
      <c r="T61" s="70"/>
    </row>
    <row r="62" spans="1:20" s="76" customFormat="1">
      <c r="A62" s="38"/>
      <c r="B62" s="38"/>
      <c r="C62" s="38"/>
      <c r="D62" s="32" t="s">
        <v>36</v>
      </c>
      <c r="E62" s="38"/>
      <c r="F62" s="38"/>
      <c r="G62" s="38"/>
      <c r="H62" s="38"/>
      <c r="I62" s="38">
        <f>TRUNC(SUM(I56:I61),2)</f>
        <v>19033.37</v>
      </c>
      <c r="J62"/>
      <c r="K62" s="53"/>
      <c r="L62" s="35"/>
      <c r="M62" s="72"/>
      <c r="N62" s="72"/>
      <c r="O62" s="73"/>
      <c r="P62" s="73"/>
      <c r="Q62" s="73"/>
      <c r="R62" s="74"/>
      <c r="S62" s="75"/>
      <c r="T62" s="75"/>
    </row>
    <row r="63" spans="1:20" s="37" customFormat="1" ht="8.25" customHeight="1">
      <c r="A63" s="93"/>
      <c r="B63" s="94"/>
      <c r="C63" s="94"/>
      <c r="D63" s="95"/>
      <c r="E63" s="83"/>
      <c r="F63" s="82"/>
      <c r="G63" s="96"/>
      <c r="H63" s="59"/>
      <c r="I63" s="83"/>
      <c r="J63"/>
      <c r="K63" s="78"/>
      <c r="L63" s="52"/>
      <c r="M63" s="7"/>
      <c r="N63" s="7"/>
      <c r="O63" s="9"/>
      <c r="P63" s="9"/>
      <c r="Q63" s="9"/>
      <c r="R63" s="10"/>
      <c r="S63" s="36"/>
      <c r="T63" s="11"/>
    </row>
    <row r="64" spans="1:20" s="37" customFormat="1">
      <c r="A64" s="38" t="s">
        <v>107</v>
      </c>
      <c r="B64" s="38"/>
      <c r="C64" s="38"/>
      <c r="D64" s="32" t="s">
        <v>108</v>
      </c>
      <c r="E64" s="32"/>
      <c r="F64" s="32"/>
      <c r="G64" s="33"/>
      <c r="H64" s="32"/>
      <c r="I64" s="32"/>
      <c r="J64"/>
      <c r="K64" s="78"/>
      <c r="L64" s="52"/>
      <c r="M64" s="7"/>
      <c r="N64" s="7"/>
      <c r="O64" s="9"/>
      <c r="P64" s="9"/>
      <c r="Q64" s="9"/>
      <c r="R64" s="10"/>
      <c r="S64" s="36"/>
      <c r="T64" s="11"/>
    </row>
    <row r="65" spans="1:20" s="50" customFormat="1" ht="45">
      <c r="A65" s="84" t="s">
        <v>109</v>
      </c>
      <c r="B65" s="40">
        <v>103328</v>
      </c>
      <c r="C65" s="40" t="s">
        <v>19</v>
      </c>
      <c r="D65" s="69" t="s">
        <v>110</v>
      </c>
      <c r="E65" s="42" t="s">
        <v>28</v>
      </c>
      <c r="F65" s="42">
        <f t="shared" ref="F65:G67" si="10">K65</f>
        <v>64.86</v>
      </c>
      <c r="G65" s="43">
        <f t="shared" si="10"/>
        <v>83.87</v>
      </c>
      <c r="H65" s="42">
        <f>TRUNC(L65*L$12,2)</f>
        <v>107.04</v>
      </c>
      <c r="I65" s="42">
        <f>TRUNC(F65*H65,2)</f>
        <v>6942.61</v>
      </c>
      <c r="J65"/>
      <c r="K65" s="51">
        <f>2*4*3+0.8*2.1*2+18.75*2</f>
        <v>64.86</v>
      </c>
      <c r="L65" s="52">
        <v>83.87</v>
      </c>
      <c r="M65" s="60">
        <f>8*3+2*0.8*2.1+2.52</f>
        <v>29.88</v>
      </c>
      <c r="N65" s="51">
        <v>38.85</v>
      </c>
      <c r="O65" s="68" t="s">
        <v>74</v>
      </c>
      <c r="P65" s="47"/>
      <c r="Q65" s="97"/>
      <c r="R65" s="48"/>
      <c r="S65" s="49"/>
      <c r="T65" s="70"/>
    </row>
    <row r="66" spans="1:20" s="50" customFormat="1" ht="22.5">
      <c r="A66" s="84" t="s">
        <v>111</v>
      </c>
      <c r="B66" s="40">
        <v>93182</v>
      </c>
      <c r="C66" s="40" t="s">
        <v>19</v>
      </c>
      <c r="D66" s="69" t="s">
        <v>112</v>
      </c>
      <c r="E66" s="42" t="s">
        <v>113</v>
      </c>
      <c r="F66" s="42">
        <f t="shared" si="10"/>
        <v>36.4</v>
      </c>
      <c r="G66" s="43">
        <f t="shared" si="10"/>
        <v>48.01</v>
      </c>
      <c r="H66" s="42">
        <f>TRUNC(L66*L$12,2)</f>
        <v>61.27</v>
      </c>
      <c r="I66" s="42">
        <f>TRUNC(F66*H66,2)</f>
        <v>2230.2199999999998</v>
      </c>
      <c r="J66"/>
      <c r="K66" s="51">
        <f>6*2.4+1.4+3*1+1.9+4.9+4*1.2+1.3+1.4+2*1.1+1.1</f>
        <v>36.4</v>
      </c>
      <c r="L66" s="52">
        <v>48.01</v>
      </c>
      <c r="M66" s="60"/>
      <c r="N66" s="60"/>
      <c r="O66" s="68" t="s">
        <v>74</v>
      </c>
      <c r="P66" s="47"/>
      <c r="Q66" s="97"/>
      <c r="R66" s="48"/>
      <c r="S66" s="49"/>
      <c r="T66" s="70"/>
    </row>
    <row r="67" spans="1:20" s="50" customFormat="1" ht="22.5">
      <c r="A67" s="84" t="s">
        <v>114</v>
      </c>
      <c r="B67" s="40">
        <v>93182</v>
      </c>
      <c r="C67" s="40" t="s">
        <v>19</v>
      </c>
      <c r="D67" s="69" t="s">
        <v>115</v>
      </c>
      <c r="E67" s="42" t="s">
        <v>113</v>
      </c>
      <c r="F67" s="42">
        <f t="shared" si="10"/>
        <v>30.399999999999995</v>
      </c>
      <c r="G67" s="43">
        <f t="shared" si="10"/>
        <v>48.01</v>
      </c>
      <c r="H67" s="42">
        <f>TRUNC(L67*L$12,2)</f>
        <v>61.27</v>
      </c>
      <c r="I67" s="42">
        <f>TRUNC(F67*H67,2)</f>
        <v>1862.6</v>
      </c>
      <c r="J67"/>
      <c r="K67" s="51">
        <f>6*2.4+1.4+3*1+1.9+4.9+4*1.2</f>
        <v>30.399999999999995</v>
      </c>
      <c r="L67" s="52">
        <v>48.01</v>
      </c>
      <c r="M67" s="60"/>
      <c r="N67" s="60"/>
      <c r="O67" s="68" t="s">
        <v>74</v>
      </c>
      <c r="P67" s="47"/>
      <c r="Q67" s="97"/>
      <c r="R67" s="48"/>
      <c r="S67" s="49"/>
      <c r="T67" s="70"/>
    </row>
    <row r="68" spans="1:20" s="76" customFormat="1">
      <c r="A68" s="38"/>
      <c r="B68" s="38"/>
      <c r="C68" s="38"/>
      <c r="D68" s="32" t="s">
        <v>36</v>
      </c>
      <c r="E68" s="38"/>
      <c r="F68" s="38"/>
      <c r="G68" s="38"/>
      <c r="H68" s="38"/>
      <c r="I68" s="38">
        <f>TRUNC(SUM(I65:I67),2)</f>
        <v>11035.43</v>
      </c>
      <c r="J68"/>
      <c r="K68" s="53"/>
      <c r="L68" s="35"/>
      <c r="M68" s="72"/>
      <c r="N68" s="72"/>
      <c r="O68" s="73"/>
      <c r="P68" s="73"/>
      <c r="Q68" s="73"/>
      <c r="R68" s="74"/>
      <c r="S68" s="75"/>
      <c r="T68" s="75"/>
    </row>
    <row r="69" spans="1:20" s="37" customFormat="1" ht="7.5" customHeight="1">
      <c r="A69" s="93"/>
      <c r="B69" s="94"/>
      <c r="C69" s="94"/>
      <c r="D69" s="95"/>
      <c r="E69" s="83"/>
      <c r="F69" s="51"/>
      <c r="G69" s="51"/>
      <c r="H69" s="59"/>
      <c r="I69" s="83"/>
      <c r="J69"/>
      <c r="K69" s="78"/>
      <c r="L69" s="52"/>
      <c r="M69" s="7"/>
      <c r="N69" s="7"/>
      <c r="O69" s="9"/>
      <c r="P69" s="9"/>
      <c r="Q69" s="9"/>
      <c r="R69" s="10"/>
      <c r="S69" s="36"/>
      <c r="T69" s="11"/>
    </row>
    <row r="70" spans="1:20" s="37" customFormat="1">
      <c r="A70" s="38" t="s">
        <v>116</v>
      </c>
      <c r="B70" s="38"/>
      <c r="C70" s="38"/>
      <c r="D70" s="32" t="s">
        <v>117</v>
      </c>
      <c r="E70" s="32"/>
      <c r="F70" s="32"/>
      <c r="G70" s="33"/>
      <c r="H70" s="32"/>
      <c r="I70" s="32"/>
      <c r="J70"/>
      <c r="K70" s="78"/>
      <c r="L70" s="52"/>
      <c r="M70" s="7"/>
      <c r="N70" s="7"/>
      <c r="O70" s="9"/>
      <c r="P70" s="9"/>
      <c r="Q70" s="9"/>
      <c r="R70" s="10"/>
      <c r="S70" s="36"/>
      <c r="T70" s="11"/>
    </row>
    <row r="71" spans="1:20" s="50" customFormat="1" ht="33.75">
      <c r="A71" s="84" t="s">
        <v>118</v>
      </c>
      <c r="B71" s="40">
        <v>92618</v>
      </c>
      <c r="C71" s="40" t="s">
        <v>19</v>
      </c>
      <c r="D71" s="69" t="s">
        <v>119</v>
      </c>
      <c r="E71" s="42" t="s">
        <v>32</v>
      </c>
      <c r="F71" s="42">
        <f>TRUNC(K71,2)</f>
        <v>10</v>
      </c>
      <c r="G71" s="43">
        <f t="shared" ref="G71:G76" si="11">L71</f>
        <v>2172.81</v>
      </c>
      <c r="H71" s="42">
        <f t="shared" ref="H71:H76" si="12">TRUNC(L71*L$12,2)</f>
        <v>2773.15</v>
      </c>
      <c r="I71" s="42">
        <f t="shared" ref="I71:I76" si="13">TRUNC(F71*H71,2)</f>
        <v>27731.5</v>
      </c>
      <c r="J71"/>
      <c r="K71" s="51">
        <v>10</v>
      </c>
      <c r="L71" s="52">
        <v>2172.81</v>
      </c>
      <c r="M71" s="60"/>
      <c r="N71" s="60"/>
      <c r="O71" s="47"/>
      <c r="P71" s="47"/>
      <c r="Q71" s="47"/>
      <c r="R71" s="48"/>
      <c r="S71" s="49"/>
      <c r="T71" s="70"/>
    </row>
    <row r="72" spans="1:20" s="50" customFormat="1" ht="33.75">
      <c r="A72" s="84" t="s">
        <v>120</v>
      </c>
      <c r="B72" s="40">
        <v>92610</v>
      </c>
      <c r="C72" s="40" t="s">
        <v>19</v>
      </c>
      <c r="D72" s="69" t="s">
        <v>121</v>
      </c>
      <c r="E72" s="42" t="s">
        <v>32</v>
      </c>
      <c r="F72" s="42">
        <f>TRUNC(K72,2)</f>
        <v>4</v>
      </c>
      <c r="G72" s="43">
        <f t="shared" si="11"/>
        <v>1403.15</v>
      </c>
      <c r="H72" s="42">
        <f t="shared" si="12"/>
        <v>1790.84</v>
      </c>
      <c r="I72" s="42">
        <f t="shared" si="13"/>
        <v>7163.36</v>
      </c>
      <c r="J72"/>
      <c r="K72" s="51">
        <v>4</v>
      </c>
      <c r="L72" s="52">
        <v>1403.15</v>
      </c>
      <c r="M72" s="60"/>
      <c r="N72" s="60"/>
      <c r="O72" s="47"/>
      <c r="P72" s="47"/>
      <c r="Q72" s="47"/>
      <c r="R72" s="48"/>
      <c r="S72" s="49"/>
      <c r="T72" s="70"/>
    </row>
    <row r="73" spans="1:20" s="50" customFormat="1" ht="22.5">
      <c r="A73" s="84" t="s">
        <v>122</v>
      </c>
      <c r="B73" s="40">
        <v>94216</v>
      </c>
      <c r="C73" s="40" t="s">
        <v>19</v>
      </c>
      <c r="D73" s="69" t="s">
        <v>123</v>
      </c>
      <c r="E73" s="42" t="s">
        <v>28</v>
      </c>
      <c r="F73" s="42">
        <f>TRUNC(K73,2)</f>
        <v>270.35000000000002</v>
      </c>
      <c r="G73" s="43">
        <f t="shared" si="11"/>
        <v>214.88</v>
      </c>
      <c r="H73" s="42">
        <f t="shared" si="12"/>
        <v>274.25</v>
      </c>
      <c r="I73" s="42">
        <f t="shared" si="13"/>
        <v>74143.48</v>
      </c>
      <c r="J73"/>
      <c r="K73" s="51">
        <f>K25</f>
        <v>270.35500000000002</v>
      </c>
      <c r="L73" s="52">
        <v>214.88</v>
      </c>
      <c r="M73" s="60"/>
      <c r="N73" s="60"/>
      <c r="O73" s="47"/>
      <c r="P73" s="47"/>
      <c r="Q73" s="47"/>
      <c r="R73" s="48"/>
      <c r="S73" s="49"/>
      <c r="T73" s="70"/>
    </row>
    <row r="74" spans="1:20" s="50" customFormat="1" ht="33.75">
      <c r="A74" s="84" t="s">
        <v>124</v>
      </c>
      <c r="B74" s="98" t="s">
        <v>25</v>
      </c>
      <c r="C74" s="40" t="s">
        <v>125</v>
      </c>
      <c r="D74" s="69" t="s">
        <v>126</v>
      </c>
      <c r="E74" s="42" t="s">
        <v>113</v>
      </c>
      <c r="F74" s="42">
        <v>215.4</v>
      </c>
      <c r="G74" s="43">
        <f t="shared" si="11"/>
        <v>77.89</v>
      </c>
      <c r="H74" s="42">
        <f t="shared" si="12"/>
        <v>99.41</v>
      </c>
      <c r="I74" s="42">
        <f t="shared" si="13"/>
        <v>21412.91</v>
      </c>
      <c r="J74"/>
      <c r="K74" s="99">
        <v>215.4</v>
      </c>
      <c r="L74" s="52">
        <v>77.89</v>
      </c>
      <c r="M74" s="60">
        <f>10.9/1.2</f>
        <v>9.0833333333333339</v>
      </c>
      <c r="N74" s="60">
        <f>6.9/1.2</f>
        <v>5.7500000000000009</v>
      </c>
      <c r="O74" s="47"/>
      <c r="P74" s="47"/>
      <c r="Q74" s="47"/>
      <c r="R74" s="48"/>
      <c r="S74" s="49"/>
      <c r="T74" s="70"/>
    </row>
    <row r="75" spans="1:20" s="50" customFormat="1" ht="22.5">
      <c r="A75" s="84" t="s">
        <v>127</v>
      </c>
      <c r="B75" s="40">
        <v>94227</v>
      </c>
      <c r="C75" s="40" t="s">
        <v>19</v>
      </c>
      <c r="D75" s="69" t="s">
        <v>128</v>
      </c>
      <c r="E75" s="42" t="s">
        <v>113</v>
      </c>
      <c r="F75" s="42">
        <f>TRUNC(K75,2)</f>
        <v>118</v>
      </c>
      <c r="G75" s="43">
        <f t="shared" si="11"/>
        <v>79.33</v>
      </c>
      <c r="H75" s="42">
        <f t="shared" si="12"/>
        <v>101.24</v>
      </c>
      <c r="I75" s="42">
        <f t="shared" si="13"/>
        <v>11946.32</v>
      </c>
      <c r="J75"/>
      <c r="K75" s="51">
        <f>(10.8+18.15+10.8)*2+6.9*3+8.9*2</f>
        <v>118</v>
      </c>
      <c r="L75" s="52">
        <v>79.33</v>
      </c>
      <c r="M75" s="60"/>
      <c r="N75" s="60">
        <f>9*17.85+6*8.9</f>
        <v>214.05</v>
      </c>
      <c r="O75" s="47"/>
      <c r="Q75" s="47"/>
      <c r="R75" s="48"/>
      <c r="S75" s="49"/>
      <c r="T75" s="70"/>
    </row>
    <row r="76" spans="1:20" s="50" customFormat="1" ht="33.75">
      <c r="A76" s="84" t="s">
        <v>129</v>
      </c>
      <c r="B76" s="40">
        <v>96116</v>
      </c>
      <c r="C76" s="40" t="s">
        <v>19</v>
      </c>
      <c r="D76" s="69" t="s">
        <v>130</v>
      </c>
      <c r="E76" s="42" t="s">
        <v>28</v>
      </c>
      <c r="F76" s="42">
        <f>TRUNC(K76,2)</f>
        <v>252.33</v>
      </c>
      <c r="G76" s="43">
        <f t="shared" si="11"/>
        <v>79.87</v>
      </c>
      <c r="H76" s="42">
        <f t="shared" si="12"/>
        <v>101.93</v>
      </c>
      <c r="I76" s="42">
        <f t="shared" si="13"/>
        <v>25719.99</v>
      </c>
      <c r="J76"/>
      <c r="K76" s="51">
        <f>K27</f>
        <v>252.32999999999998</v>
      </c>
      <c r="L76" s="52">
        <v>79.87</v>
      </c>
      <c r="M76" s="60"/>
      <c r="N76" s="60"/>
      <c r="O76" s="47"/>
      <c r="P76" s="47"/>
      <c r="Q76" s="47"/>
      <c r="R76" s="48"/>
      <c r="S76" s="49"/>
      <c r="T76" s="70"/>
    </row>
    <row r="77" spans="1:20" s="76" customFormat="1">
      <c r="A77" s="38"/>
      <c r="B77" s="38"/>
      <c r="C77" s="38"/>
      <c r="D77" s="32" t="s">
        <v>36</v>
      </c>
      <c r="E77" s="38"/>
      <c r="F77" s="38"/>
      <c r="G77" s="38"/>
      <c r="H77" s="38"/>
      <c r="I77" s="38">
        <f>TRUNC(SUM(I71:I76),2)</f>
        <v>168117.56</v>
      </c>
      <c r="J77"/>
      <c r="K77" s="53"/>
      <c r="L77" s="35"/>
      <c r="M77" s="72"/>
      <c r="N77" s="72"/>
      <c r="O77" s="73"/>
      <c r="P77" s="73"/>
      <c r="Q77" s="73"/>
      <c r="R77" s="74"/>
      <c r="S77" s="75"/>
      <c r="T77" s="75"/>
    </row>
    <row r="78" spans="1:20" s="37" customFormat="1" ht="7.5" customHeight="1">
      <c r="A78" s="93"/>
      <c r="B78" s="94"/>
      <c r="C78" s="94"/>
      <c r="D78" s="81"/>
      <c r="E78" s="83"/>
      <c r="F78" s="51"/>
      <c r="G78" s="51"/>
      <c r="H78" s="59"/>
      <c r="I78" s="83"/>
      <c r="J78"/>
      <c r="K78" s="78"/>
      <c r="L78" s="52"/>
      <c r="M78" s="7"/>
      <c r="N78" s="7"/>
      <c r="O78" s="9"/>
      <c r="P78" s="9"/>
      <c r="Q78" s="9"/>
      <c r="R78" s="10"/>
      <c r="S78" s="36"/>
      <c r="T78" s="11"/>
    </row>
    <row r="79" spans="1:20" s="37" customFormat="1">
      <c r="A79" s="38" t="s">
        <v>131</v>
      </c>
      <c r="B79" s="38"/>
      <c r="C79" s="38"/>
      <c r="D79" s="32" t="s">
        <v>132</v>
      </c>
      <c r="E79" s="32"/>
      <c r="F79" s="32"/>
      <c r="G79" s="33"/>
      <c r="H79" s="32"/>
      <c r="I79" s="32"/>
      <c r="J79"/>
      <c r="K79" s="78"/>
      <c r="L79" s="52"/>
      <c r="M79" s="7"/>
      <c r="N79" s="7"/>
      <c r="O79" s="9"/>
      <c r="P79" s="9"/>
      <c r="Q79" s="9"/>
      <c r="R79" s="10"/>
      <c r="S79" s="36"/>
      <c r="T79" s="11"/>
    </row>
    <row r="80" spans="1:20" s="37" customFormat="1">
      <c r="A80" s="38" t="s">
        <v>133</v>
      </c>
      <c r="B80" s="38"/>
      <c r="C80" s="38"/>
      <c r="D80" s="100" t="s">
        <v>134</v>
      </c>
      <c r="E80" s="38"/>
      <c r="F80" s="38"/>
      <c r="G80" s="38"/>
      <c r="H80" s="38"/>
      <c r="I80" s="38"/>
      <c r="J80"/>
      <c r="K80" s="78"/>
      <c r="L80" s="52"/>
      <c r="M80" s="7"/>
      <c r="N80" s="7"/>
      <c r="O80" s="9"/>
      <c r="P80" s="9"/>
      <c r="Q80" s="9"/>
      <c r="R80" s="10"/>
      <c r="S80" s="36"/>
      <c r="T80" s="11"/>
    </row>
    <row r="81" spans="1:20" s="50" customFormat="1" ht="45">
      <c r="A81" s="84" t="s">
        <v>135</v>
      </c>
      <c r="B81" s="40">
        <v>91016</v>
      </c>
      <c r="C81" s="40" t="s">
        <v>19</v>
      </c>
      <c r="D81" s="69" t="s">
        <v>136</v>
      </c>
      <c r="E81" s="42" t="s">
        <v>32</v>
      </c>
      <c r="F81" s="42">
        <f>TRUNC(K81,2)</f>
        <v>2</v>
      </c>
      <c r="G81" s="43">
        <f>L81</f>
        <v>830.58</v>
      </c>
      <c r="H81" s="42">
        <f>TRUNC(L81*L$12,2)</f>
        <v>1060.06</v>
      </c>
      <c r="I81" s="42">
        <f>TRUNC(F81*H81,2)</f>
        <v>2120.12</v>
      </c>
      <c r="J81"/>
      <c r="K81" s="51">
        <v>2</v>
      </c>
      <c r="L81" s="52">
        <v>830.58</v>
      </c>
      <c r="M81" s="92"/>
      <c r="N81" s="92"/>
      <c r="O81" s="47"/>
      <c r="P81" s="47"/>
      <c r="Q81" s="47" t="e">
        <f>N71:Q75</f>
        <v>#VALUE!</v>
      </c>
      <c r="R81" s="48"/>
      <c r="S81" s="49"/>
      <c r="T81" s="70"/>
    </row>
    <row r="82" spans="1:20" s="50" customFormat="1" ht="33.75">
      <c r="A82" s="84" t="s">
        <v>137</v>
      </c>
      <c r="B82" s="40">
        <v>91304</v>
      </c>
      <c r="C82" s="40" t="s">
        <v>19</v>
      </c>
      <c r="D82" s="69" t="s">
        <v>138</v>
      </c>
      <c r="E82" s="42" t="s">
        <v>32</v>
      </c>
      <c r="F82" s="42">
        <f>TRUNC(K82,2)</f>
        <v>10</v>
      </c>
      <c r="G82" s="43">
        <f>L82</f>
        <v>108.86</v>
      </c>
      <c r="H82" s="42">
        <f>TRUNC(L82*L$12,2)</f>
        <v>138.93</v>
      </c>
      <c r="I82" s="42">
        <f>TRUNC(F82*H82,2)</f>
        <v>1389.3</v>
      </c>
      <c r="J82"/>
      <c r="K82" s="51">
        <v>10</v>
      </c>
      <c r="L82" s="52">
        <v>108.86</v>
      </c>
      <c r="M82" s="92"/>
      <c r="N82" s="92"/>
      <c r="O82" s="47"/>
      <c r="P82" s="47"/>
      <c r="Q82" s="47"/>
      <c r="R82" s="48"/>
      <c r="S82" s="49"/>
      <c r="T82" s="70"/>
    </row>
    <row r="83" spans="1:20" s="50" customFormat="1" ht="45">
      <c r="A83" s="84" t="s">
        <v>139</v>
      </c>
      <c r="B83" s="40">
        <v>91015</v>
      </c>
      <c r="C83" s="40" t="s">
        <v>19</v>
      </c>
      <c r="D83" s="69" t="s">
        <v>140</v>
      </c>
      <c r="E83" s="42" t="s">
        <v>32</v>
      </c>
      <c r="F83" s="42">
        <f>TRUNC(K83,2)</f>
        <v>6</v>
      </c>
      <c r="G83" s="43">
        <f>L83</f>
        <v>783.21</v>
      </c>
      <c r="H83" s="42">
        <f>TRUNC(L83*L$12,2)</f>
        <v>999.61</v>
      </c>
      <c r="I83" s="42">
        <f>TRUNC(F83*H83,2)</f>
        <v>5997.66</v>
      </c>
      <c r="J83"/>
      <c r="K83" s="51">
        <v>6</v>
      </c>
      <c r="L83" s="52">
        <v>783.21</v>
      </c>
      <c r="M83" s="92"/>
      <c r="N83" s="68" t="s">
        <v>74</v>
      </c>
      <c r="O83" s="47"/>
      <c r="P83" s="47"/>
      <c r="Q83" s="47"/>
      <c r="R83" s="48"/>
      <c r="S83" s="49"/>
      <c r="T83" s="70"/>
    </row>
    <row r="84" spans="1:20" s="50" customFormat="1" ht="45">
      <c r="A84" s="84" t="s">
        <v>141</v>
      </c>
      <c r="B84" s="40">
        <v>91014</v>
      </c>
      <c r="C84" s="40" t="s">
        <v>19</v>
      </c>
      <c r="D84" s="69" t="s">
        <v>142</v>
      </c>
      <c r="E84" s="42" t="s">
        <v>32</v>
      </c>
      <c r="F84" s="42">
        <f>TRUNC(K84,2)</f>
        <v>2</v>
      </c>
      <c r="G84" s="43">
        <f>L84</f>
        <v>721.5</v>
      </c>
      <c r="H84" s="42">
        <f>TRUNC(L84*L$12,2)</f>
        <v>920.85</v>
      </c>
      <c r="I84" s="42">
        <f>TRUNC(F84*H84,2)</f>
        <v>1841.7</v>
      </c>
      <c r="J84"/>
      <c r="K84" s="51">
        <v>2</v>
      </c>
      <c r="L84" s="52">
        <v>721.5</v>
      </c>
      <c r="M84" s="92"/>
      <c r="N84" s="92"/>
      <c r="O84" s="47"/>
      <c r="P84" s="47"/>
      <c r="Q84" s="47"/>
      <c r="R84" s="48"/>
      <c r="S84" s="49"/>
      <c r="T84" s="70"/>
    </row>
    <row r="85" spans="1:20" s="50" customFormat="1">
      <c r="A85" s="38" t="s">
        <v>143</v>
      </c>
      <c r="B85" s="38"/>
      <c r="C85" s="38"/>
      <c r="D85" s="100" t="s">
        <v>144</v>
      </c>
      <c r="E85" s="38"/>
      <c r="F85" s="38"/>
      <c r="G85" s="38"/>
      <c r="H85" s="38"/>
      <c r="I85" s="38"/>
      <c r="J85"/>
      <c r="K85" s="51"/>
      <c r="L85" s="52"/>
      <c r="M85" s="92"/>
      <c r="N85" s="92"/>
      <c r="O85" s="47"/>
      <c r="P85" s="47"/>
      <c r="Q85" s="47"/>
      <c r="R85" s="48"/>
      <c r="S85" s="49"/>
      <c r="T85" s="70"/>
    </row>
    <row r="86" spans="1:20" s="50" customFormat="1" ht="22.5">
      <c r="A86" s="84" t="s">
        <v>145</v>
      </c>
      <c r="B86" s="40">
        <v>100701</v>
      </c>
      <c r="C86" s="40" t="s">
        <v>19</v>
      </c>
      <c r="D86" s="69" t="s">
        <v>146</v>
      </c>
      <c r="E86" s="42" t="s">
        <v>28</v>
      </c>
      <c r="F86" s="42">
        <f>TRUNC(K86,2)</f>
        <v>2.1</v>
      </c>
      <c r="G86" s="43">
        <f>L86</f>
        <v>642.29999999999995</v>
      </c>
      <c r="H86" s="42">
        <f>TRUNC(L86*L$12,2)</f>
        <v>819.76</v>
      </c>
      <c r="I86" s="42">
        <f>TRUNC(F86*H86,2)</f>
        <v>1721.49</v>
      </c>
      <c r="J86"/>
      <c r="K86" s="51">
        <f>1*2.1</f>
        <v>2.1</v>
      </c>
      <c r="L86" s="52">
        <v>642.29999999999995</v>
      </c>
      <c r="M86">
        <v>94807</v>
      </c>
      <c r="N86" s="92">
        <f>22.05-7.5-4</f>
        <v>10.55</v>
      </c>
      <c r="O86" s="47"/>
      <c r="P86" s="47"/>
      <c r="Q86" s="47"/>
      <c r="R86" s="48"/>
      <c r="S86" s="49"/>
      <c r="T86" s="70"/>
    </row>
    <row r="87" spans="1:20" s="50" customFormat="1" ht="22.5">
      <c r="A87" s="84" t="s">
        <v>147</v>
      </c>
      <c r="B87" s="40">
        <v>99862</v>
      </c>
      <c r="C87" s="40" t="s">
        <v>19</v>
      </c>
      <c r="D87" s="69" t="s">
        <v>148</v>
      </c>
      <c r="E87" s="42" t="s">
        <v>28</v>
      </c>
      <c r="F87" s="42">
        <f>TRUNC(K87,2)</f>
        <v>25.84</v>
      </c>
      <c r="G87" s="43">
        <f>L87</f>
        <v>484</v>
      </c>
      <c r="H87" s="42">
        <f>TRUNC(L87*L$12,2)</f>
        <v>617.72</v>
      </c>
      <c r="I87" s="42">
        <f>TRUNC(F87*H87,2)</f>
        <v>15961.88</v>
      </c>
      <c r="J87"/>
      <c r="K87" s="67">
        <f>5*2*1.4+2*2.4*1+4*1.2*1+1.6*1.4</f>
        <v>25.84</v>
      </c>
      <c r="L87" s="52">
        <v>484</v>
      </c>
      <c r="M87" s="67">
        <f>5*2*1.4+2*2.4*1+4*1.2*1+1.6*1.4</f>
        <v>25.84</v>
      </c>
      <c r="N87" s="92"/>
      <c r="O87" s="47"/>
      <c r="P87" s="47"/>
      <c r="Q87" s="47"/>
      <c r="R87" s="48"/>
      <c r="S87" s="49"/>
      <c r="T87" s="70"/>
    </row>
    <row r="88" spans="1:20" s="50" customFormat="1" ht="45">
      <c r="A88" s="84" t="s">
        <v>149</v>
      </c>
      <c r="B88" s="40">
        <v>94570</v>
      </c>
      <c r="C88" s="40" t="s">
        <v>19</v>
      </c>
      <c r="D88" s="69" t="s">
        <v>150</v>
      </c>
      <c r="E88" s="42" t="s">
        <v>28</v>
      </c>
      <c r="F88" s="42">
        <f>TRUNC(K88,2)</f>
        <v>15.6</v>
      </c>
      <c r="G88" s="43">
        <f>L88</f>
        <v>307.52999999999997</v>
      </c>
      <c r="H88" s="42">
        <f>TRUNC(L88*L$12,2)</f>
        <v>392.5</v>
      </c>
      <c r="I88" s="42">
        <f>TRUNC(F88*H88,2)</f>
        <v>6123</v>
      </c>
      <c r="J88"/>
      <c r="K88" s="67">
        <f>5*2*1.2+2*2*0.6+1.2*1</f>
        <v>15.6</v>
      </c>
      <c r="L88" s="52">
        <v>307.52999999999997</v>
      </c>
      <c r="M88" s="67">
        <f>5*2*1.2+2*2*0.6+1.2*1</f>
        <v>15.6</v>
      </c>
      <c r="N88" s="68" t="s">
        <v>74</v>
      </c>
      <c r="O88" s="47"/>
      <c r="P88" s="47"/>
      <c r="Q88" s="47"/>
      <c r="R88" s="48"/>
      <c r="S88" s="49"/>
      <c r="T88" s="70"/>
    </row>
    <row r="89" spans="1:20" s="50" customFormat="1" ht="33.75">
      <c r="A89" s="84" t="s">
        <v>151</v>
      </c>
      <c r="B89" s="40">
        <v>94569</v>
      </c>
      <c r="C89" s="40" t="s">
        <v>19</v>
      </c>
      <c r="D89" s="69" t="s">
        <v>152</v>
      </c>
      <c r="E89" s="42" t="s">
        <v>28</v>
      </c>
      <c r="F89" s="42">
        <f>TRUNC(K89,2)</f>
        <v>1.92</v>
      </c>
      <c r="G89" s="43">
        <f>L89</f>
        <v>591.15</v>
      </c>
      <c r="H89" s="42">
        <f>TRUNC(L89*L$12,2)</f>
        <v>754.48</v>
      </c>
      <c r="I89" s="42">
        <f>TRUNC(F89*H89,2)</f>
        <v>1448.6</v>
      </c>
      <c r="J89"/>
      <c r="K89" s="51">
        <f>4*0.8*0.6</f>
        <v>1.92</v>
      </c>
      <c r="L89" s="52">
        <v>591.15</v>
      </c>
      <c r="M89"/>
      <c r="N89" s="92"/>
      <c r="O89" s="47"/>
      <c r="P89" s="47"/>
      <c r="Q89" s="47"/>
      <c r="R89" s="48"/>
      <c r="S89" s="49"/>
      <c r="T89" s="70"/>
    </row>
    <row r="90" spans="1:20" s="91" customFormat="1" ht="22.5">
      <c r="A90" s="84" t="s">
        <v>153</v>
      </c>
      <c r="B90" s="40" t="s">
        <v>25</v>
      </c>
      <c r="C90" s="40" t="s">
        <v>154</v>
      </c>
      <c r="D90" s="69" t="s">
        <v>155</v>
      </c>
      <c r="E90" s="42" t="s">
        <v>28</v>
      </c>
      <c r="F90" s="42">
        <f>TRUNC(K90,2)</f>
        <v>10.4</v>
      </c>
      <c r="G90" s="43">
        <f>L90</f>
        <v>820.38</v>
      </c>
      <c r="H90" s="42">
        <f>TRUNC(L90*L$12,2)</f>
        <v>1047.05</v>
      </c>
      <c r="I90" s="42">
        <f>TRUNC(F90*H90,2)</f>
        <v>10889.32</v>
      </c>
      <c r="J90"/>
      <c r="K90" s="86">
        <f>4*2.6</f>
        <v>10.4</v>
      </c>
      <c r="L90" s="52">
        <v>820.38</v>
      </c>
      <c r="M90" s="86">
        <f>4*2.6</f>
        <v>10.4</v>
      </c>
      <c r="N90" s="86"/>
      <c r="O90" s="87"/>
      <c r="P90" s="87"/>
      <c r="Q90" s="87"/>
      <c r="R90" s="88"/>
      <c r="S90" s="89"/>
      <c r="T90" s="90"/>
    </row>
    <row r="91" spans="1:20" s="76" customFormat="1">
      <c r="A91" s="38"/>
      <c r="B91" s="38"/>
      <c r="C91" s="38"/>
      <c r="D91" s="32" t="s">
        <v>36</v>
      </c>
      <c r="E91" s="38"/>
      <c r="F91" s="38"/>
      <c r="G91" s="38"/>
      <c r="H91" s="38"/>
      <c r="I91" s="38">
        <f>TRUNC(SUM(I81:I90),2)</f>
        <v>47493.07</v>
      </c>
      <c r="J91"/>
      <c r="K91" s="53"/>
      <c r="L91" s="35"/>
      <c r="M91" s="72"/>
      <c r="N91" s="72"/>
      <c r="O91" s="73"/>
      <c r="P91" s="73"/>
      <c r="Q91" s="73"/>
      <c r="R91" s="74"/>
      <c r="S91" s="75"/>
      <c r="T91" s="75"/>
    </row>
    <row r="92" spans="1:20" s="37" customFormat="1" ht="8.25" customHeight="1">
      <c r="A92" s="93"/>
      <c r="B92" s="94"/>
      <c r="C92" s="94"/>
      <c r="D92" s="81"/>
      <c r="E92" s="83"/>
      <c r="F92" s="82"/>
      <c r="G92" s="96"/>
      <c r="H92" s="59"/>
      <c r="I92" s="83"/>
      <c r="J92"/>
      <c r="K92" s="78"/>
      <c r="L92" s="52"/>
      <c r="M92" s="7"/>
      <c r="N92" s="7"/>
      <c r="O92" s="9"/>
      <c r="P92" s="9"/>
      <c r="Q92" s="9"/>
      <c r="R92" s="10"/>
      <c r="S92" s="36"/>
      <c r="T92" s="11"/>
    </row>
    <row r="93" spans="1:20" s="37" customFormat="1">
      <c r="A93" s="38" t="s">
        <v>156</v>
      </c>
      <c r="B93" s="38"/>
      <c r="C93" s="38"/>
      <c r="D93" s="32" t="s">
        <v>157</v>
      </c>
      <c r="E93" s="32"/>
      <c r="F93" s="32"/>
      <c r="G93" s="33"/>
      <c r="H93" s="32"/>
      <c r="I93" s="32"/>
      <c r="J93"/>
      <c r="K93" s="78"/>
      <c r="L93" s="52"/>
      <c r="M93" s="7"/>
      <c r="N93" s="7"/>
      <c r="O93" s="9"/>
      <c r="P93" s="9"/>
      <c r="Q93" s="9"/>
      <c r="R93" s="10"/>
      <c r="S93" s="36"/>
      <c r="T93" s="11"/>
    </row>
    <row r="94" spans="1:20" s="50" customFormat="1" ht="40.5" customHeight="1">
      <c r="A94" s="84" t="s">
        <v>158</v>
      </c>
      <c r="B94" s="40">
        <v>87879</v>
      </c>
      <c r="C94" s="40" t="s">
        <v>19</v>
      </c>
      <c r="D94" s="69" t="s">
        <v>159</v>
      </c>
      <c r="E94" s="42" t="s">
        <v>28</v>
      </c>
      <c r="F94" s="42">
        <f>TRUNC(K94,2)</f>
        <v>258.43</v>
      </c>
      <c r="G94" s="43">
        <f>L94</f>
        <v>3.83</v>
      </c>
      <c r="H94" s="42">
        <f>TRUNC(L94*L$12,2)</f>
        <v>4.88</v>
      </c>
      <c r="I94" s="42">
        <f>TRUNC(F94*H94,2)</f>
        <v>1261.1300000000001</v>
      </c>
      <c r="J94"/>
      <c r="K94" s="50">
        <f>K65*2+K31+5*1.5</f>
        <v>258.43200000000002</v>
      </c>
      <c r="L94" s="52">
        <v>3.83</v>
      </c>
      <c r="M94" s="68"/>
      <c r="N94" s="68" t="s">
        <v>74</v>
      </c>
      <c r="O94" s="50">
        <f>K65*2+K31+5*1.5</f>
        <v>258.43200000000002</v>
      </c>
      <c r="P94" s="47"/>
      <c r="Q94" s="47"/>
      <c r="R94" s="48"/>
      <c r="S94" s="49"/>
      <c r="T94" s="70"/>
    </row>
    <row r="95" spans="1:20" s="50" customFormat="1" ht="56.25">
      <c r="A95" s="84" t="s">
        <v>160</v>
      </c>
      <c r="B95" s="40" t="s">
        <v>161</v>
      </c>
      <c r="C95" s="40" t="s">
        <v>19</v>
      </c>
      <c r="D95" s="69" t="s">
        <v>162</v>
      </c>
      <c r="E95" s="42" t="s">
        <v>28</v>
      </c>
      <c r="F95" s="42">
        <f>TRUNC(K95,2)</f>
        <v>258.43</v>
      </c>
      <c r="G95" s="43">
        <f>L95</f>
        <v>32.26</v>
      </c>
      <c r="H95" s="42">
        <f>TRUNC(L95*L$12,2)</f>
        <v>41.17</v>
      </c>
      <c r="I95" s="42">
        <f>TRUNC(F95*H95,2)</f>
        <v>10639.56</v>
      </c>
      <c r="J95"/>
      <c r="K95" s="51">
        <f>K94</f>
        <v>258.43200000000002</v>
      </c>
      <c r="L95" s="52">
        <v>32.26</v>
      </c>
      <c r="M95" s="60"/>
      <c r="N95" s="68" t="s">
        <v>74</v>
      </c>
      <c r="P95" s="47"/>
      <c r="Q95" s="47"/>
      <c r="R95" s="48"/>
      <c r="S95" s="49"/>
      <c r="T95" s="70"/>
    </row>
    <row r="96" spans="1:20" s="50" customFormat="1" ht="45">
      <c r="A96" s="84" t="s">
        <v>163</v>
      </c>
      <c r="B96" s="40">
        <v>87274</v>
      </c>
      <c r="C96" s="40" t="s">
        <v>19</v>
      </c>
      <c r="D96" s="69" t="s">
        <v>164</v>
      </c>
      <c r="E96" s="42" t="s">
        <v>28</v>
      </c>
      <c r="F96" s="42">
        <f>TRUNC(K96,2)</f>
        <v>90.9</v>
      </c>
      <c r="G96" s="43">
        <f>L96</f>
        <v>73.77</v>
      </c>
      <c r="H96" s="42">
        <f>TRUNC(L96*L$12,2)</f>
        <v>94.15</v>
      </c>
      <c r="I96" s="42">
        <f>TRUNC(F96*H96,2)</f>
        <v>8558.23</v>
      </c>
      <c r="J96"/>
      <c r="K96" s="64">
        <f>(8.9+8.9+12.47+5.22+7.8)*2.1</f>
        <v>90.909000000000006</v>
      </c>
      <c r="L96" s="52">
        <v>73.77</v>
      </c>
      <c r="M96" s="64">
        <f>(8.9+8.9+12.47+5.22+7.8)*2.1</f>
        <v>90.909000000000006</v>
      </c>
      <c r="N96" s="60">
        <f>(0.9+8.9+12.5+11.6+7.8)*2.1</f>
        <v>87.57</v>
      </c>
      <c r="O96" s="47"/>
      <c r="P96" s="47"/>
      <c r="Q96" s="47"/>
      <c r="R96" s="48"/>
      <c r="S96" s="49"/>
      <c r="T96" s="70"/>
    </row>
    <row r="97" spans="1:20" s="50" customFormat="1" ht="33.75">
      <c r="A97" s="84" t="s">
        <v>165</v>
      </c>
      <c r="B97" s="40">
        <v>102253</v>
      </c>
      <c r="C97" s="40" t="s">
        <v>19</v>
      </c>
      <c r="D97" s="69" t="s">
        <v>166</v>
      </c>
      <c r="E97" s="42" t="s">
        <v>28</v>
      </c>
      <c r="F97" s="42">
        <f>TRUNC(K97,2)</f>
        <v>2</v>
      </c>
      <c r="G97" s="43">
        <f>L97</f>
        <v>852.2</v>
      </c>
      <c r="H97" s="42">
        <f>TRUNC(L97*L$12,2)</f>
        <v>1087.6600000000001</v>
      </c>
      <c r="I97" s="42">
        <f>TRUNC(F97*H97,2)</f>
        <v>2175.3200000000002</v>
      </c>
      <c r="J97"/>
      <c r="K97" s="51">
        <f>5*0.8*0.5</f>
        <v>2</v>
      </c>
      <c r="L97" s="52">
        <v>852.2</v>
      </c>
      <c r="M97" s="60"/>
      <c r="N97" s="60"/>
      <c r="O97" s="47"/>
      <c r="P97" s="47"/>
      <c r="Q97" s="47"/>
      <c r="R97" s="48"/>
      <c r="S97" s="49"/>
      <c r="T97" s="70"/>
    </row>
    <row r="98" spans="1:20" s="50" customFormat="1" ht="22.5">
      <c r="A98" s="84" t="s">
        <v>167</v>
      </c>
      <c r="B98" s="40">
        <v>86889</v>
      </c>
      <c r="C98" s="40" t="s">
        <v>19</v>
      </c>
      <c r="D98" s="41" t="s">
        <v>168</v>
      </c>
      <c r="E98" s="42" t="s">
        <v>113</v>
      </c>
      <c r="F98" s="42">
        <f>TRUNC(K98,2)</f>
        <v>8.1</v>
      </c>
      <c r="G98" s="43">
        <f>L98</f>
        <v>789.67</v>
      </c>
      <c r="H98" s="42">
        <f>TRUNC(L98*L$12,2)</f>
        <v>1007.85</v>
      </c>
      <c r="I98" s="42">
        <f>TRUNC(F98*H98,2)</f>
        <v>8163.58</v>
      </c>
      <c r="J98"/>
      <c r="K98" s="51">
        <f>2+6.1</f>
        <v>8.1</v>
      </c>
      <c r="L98" s="52">
        <v>789.67</v>
      </c>
      <c r="M98" s="68">
        <f>706.6/1.5</f>
        <v>471.06666666666666</v>
      </c>
      <c r="N98" s="60" t="s">
        <v>169</v>
      </c>
      <c r="O98" s="47"/>
      <c r="P98" s="47"/>
      <c r="Q98" s="47"/>
      <c r="R98" s="48"/>
      <c r="S98" s="49"/>
      <c r="T98" s="70"/>
    </row>
    <row r="99" spans="1:20" s="76" customFormat="1">
      <c r="A99" s="38"/>
      <c r="B99" s="38"/>
      <c r="C99" s="38"/>
      <c r="D99" s="32" t="s">
        <v>36</v>
      </c>
      <c r="E99" s="38"/>
      <c r="F99" s="38"/>
      <c r="G99" s="38"/>
      <c r="H99" s="38"/>
      <c r="I99" s="38">
        <f>TRUNC(SUM(I94:I98),2)</f>
        <v>30797.82</v>
      </c>
      <c r="J99"/>
      <c r="K99" s="53"/>
      <c r="L99" s="35"/>
      <c r="M99" s="72"/>
      <c r="N99" s="72"/>
      <c r="O99" s="73"/>
      <c r="P99" s="73"/>
      <c r="Q99" s="73"/>
      <c r="R99" s="74"/>
      <c r="S99" s="75"/>
      <c r="T99" s="75"/>
    </row>
    <row r="100" spans="1:20" s="37" customFormat="1" ht="7.5" customHeight="1">
      <c r="A100" s="93"/>
      <c r="B100" s="94"/>
      <c r="C100" s="94"/>
      <c r="D100" s="95"/>
      <c r="E100" s="83"/>
      <c r="F100" s="51"/>
      <c r="G100" s="51"/>
      <c r="H100" s="59"/>
      <c r="I100" s="83"/>
      <c r="J100"/>
      <c r="K100" s="78"/>
      <c r="L100" s="52"/>
      <c r="M100" s="7"/>
      <c r="N100" s="7"/>
      <c r="O100" s="9"/>
      <c r="P100" s="9"/>
      <c r="Q100" s="9"/>
      <c r="R100" s="10"/>
      <c r="S100" s="36"/>
      <c r="T100" s="11"/>
    </row>
    <row r="101" spans="1:20" s="37" customFormat="1">
      <c r="A101" s="38" t="s">
        <v>170</v>
      </c>
      <c r="B101" s="38"/>
      <c r="C101" s="38"/>
      <c r="D101" s="32" t="s">
        <v>171</v>
      </c>
      <c r="E101" s="32"/>
      <c r="F101" s="32"/>
      <c r="G101" s="33"/>
      <c r="H101" s="32"/>
      <c r="I101" s="32"/>
      <c r="J101"/>
      <c r="K101" s="78"/>
      <c r="L101" s="52"/>
      <c r="M101" s="7"/>
      <c r="N101" s="7"/>
      <c r="O101" s="9"/>
      <c r="P101" s="9"/>
      <c r="Q101" s="9"/>
      <c r="R101" s="10"/>
      <c r="S101" s="36"/>
      <c r="T101" s="11"/>
    </row>
    <row r="102" spans="1:20" s="91" customFormat="1" ht="33.75">
      <c r="A102" s="42" t="s">
        <v>172</v>
      </c>
      <c r="B102" s="40">
        <v>87250</v>
      </c>
      <c r="C102" s="40" t="s">
        <v>19</v>
      </c>
      <c r="D102" s="41" t="s">
        <v>173</v>
      </c>
      <c r="E102" s="42" t="s">
        <v>28</v>
      </c>
      <c r="F102" s="42">
        <f>TRUNC(K102,2)</f>
        <v>214</v>
      </c>
      <c r="G102" s="43">
        <f>L102</f>
        <v>55.56</v>
      </c>
      <c r="H102" s="42">
        <f>TRUNC(L102*L$12,2)</f>
        <v>70.91</v>
      </c>
      <c r="I102" s="42">
        <f>TRUNC(F102*H102,2)</f>
        <v>15174.74</v>
      </c>
      <c r="J102"/>
      <c r="K102" s="51">
        <f>33+16.6+4.26+4.27+12.5+2.95+20.6+65.23+5.4+12.18+7.2+3.78+11.97+3.75*3.75</f>
        <v>214.00250000000003</v>
      </c>
      <c r="L102" s="52">
        <v>55.56</v>
      </c>
      <c r="M102" s="8"/>
      <c r="N102" s="60">
        <f>11.97+3.78+7.2+12.18+5*4.7+4*4+65.75+33+14.53+1.67+4.26+4.27+2.95+8.9</f>
        <v>209.95999999999998</v>
      </c>
      <c r="O102" s="87"/>
      <c r="P102" s="87"/>
      <c r="Q102" s="87"/>
      <c r="R102" s="88"/>
      <c r="S102" s="89"/>
      <c r="T102" s="90"/>
    </row>
    <row r="103" spans="1:20" s="91" customFormat="1" ht="22.5">
      <c r="A103" s="42" t="s">
        <v>174</v>
      </c>
      <c r="B103" s="40" t="s">
        <v>175</v>
      </c>
      <c r="C103" s="40" t="s">
        <v>19</v>
      </c>
      <c r="D103" s="41" t="s">
        <v>176</v>
      </c>
      <c r="E103" s="42" t="s">
        <v>113</v>
      </c>
      <c r="F103" s="42">
        <f>TRUNC(K103,2)</f>
        <v>138.30000000000001</v>
      </c>
      <c r="G103" s="43">
        <f>L103</f>
        <v>7.98</v>
      </c>
      <c r="H103" s="42">
        <f>TRUNC(L103*L$12,2)</f>
        <v>10.18</v>
      </c>
      <c r="I103" s="42">
        <f>TRUNC(F103*H103,2)</f>
        <v>1407.89</v>
      </c>
      <c r="J103"/>
      <c r="K103" s="101">
        <f>14.2+14.07+69.33+16.3+24.4</f>
        <v>138.29999999999998</v>
      </c>
      <c r="L103" s="52">
        <v>7.98</v>
      </c>
      <c r="M103" s="8"/>
      <c r="N103" s="8"/>
      <c r="O103" s="87"/>
      <c r="P103" s="87"/>
      <c r="Q103" s="87"/>
      <c r="R103" s="88"/>
      <c r="S103" s="89"/>
      <c r="T103" s="90"/>
    </row>
    <row r="104" spans="1:20" s="50" customFormat="1" ht="45">
      <c r="A104" s="42" t="s">
        <v>177</v>
      </c>
      <c r="B104" s="40">
        <v>94990</v>
      </c>
      <c r="C104" s="40" t="s">
        <v>19</v>
      </c>
      <c r="D104" s="41" t="s">
        <v>178</v>
      </c>
      <c r="E104" s="42" t="s">
        <v>59</v>
      </c>
      <c r="F104" s="42">
        <f>TRUNC(K104,2)</f>
        <v>31.75</v>
      </c>
      <c r="G104" s="43">
        <f>L104</f>
        <v>786.06</v>
      </c>
      <c r="H104" s="42">
        <f>TRUNC(L104*L$12,2)</f>
        <v>1003.24</v>
      </c>
      <c r="I104" s="42">
        <f>TRUNC(F104*H104,2)</f>
        <v>31852.87</v>
      </c>
      <c r="J104"/>
      <c r="K104" s="51">
        <f>(17.42+11.27+10.04+414.87)*0.07</f>
        <v>31.752000000000006</v>
      </c>
      <c r="L104" s="52">
        <v>786.06</v>
      </c>
      <c r="M104" s="92">
        <v>24</v>
      </c>
      <c r="N104" s="60"/>
      <c r="O104" s="47"/>
      <c r="P104" s="47"/>
      <c r="Q104" s="47"/>
      <c r="R104" s="48"/>
      <c r="S104" s="49"/>
      <c r="T104" s="70"/>
    </row>
    <row r="105" spans="1:20" s="50" customFormat="1" ht="22.5">
      <c r="A105" s="42" t="s">
        <v>179</v>
      </c>
      <c r="B105" s="40">
        <v>98689</v>
      </c>
      <c r="C105" s="40" t="s">
        <v>19</v>
      </c>
      <c r="D105" s="41" t="s">
        <v>180</v>
      </c>
      <c r="E105" s="42" t="s">
        <v>113</v>
      </c>
      <c r="F105" s="42">
        <f>TRUNC(K105,2)</f>
        <v>5.6</v>
      </c>
      <c r="G105" s="43">
        <f>L105</f>
        <v>110.33</v>
      </c>
      <c r="H105" s="42">
        <f>TRUNC(L105*L$12,2)</f>
        <v>140.81</v>
      </c>
      <c r="I105" s="42">
        <f>TRUNC(F105*H105,2)</f>
        <v>788.53</v>
      </c>
      <c r="J105"/>
      <c r="K105" s="51">
        <f>0.8+0.8+4</f>
        <v>5.6</v>
      </c>
      <c r="L105" s="52">
        <v>110.33</v>
      </c>
      <c r="M105" s="92"/>
      <c r="N105" s="92"/>
      <c r="O105" s="47"/>
      <c r="P105" s="47"/>
      <c r="Q105" s="47"/>
      <c r="R105" s="48"/>
      <c r="S105" s="49"/>
      <c r="T105" s="70"/>
    </row>
    <row r="106" spans="1:20" s="50" customFormat="1" ht="22.5">
      <c r="A106" s="42" t="s">
        <v>181</v>
      </c>
      <c r="B106" s="40">
        <v>101094</v>
      </c>
      <c r="C106" s="40" t="s">
        <v>19</v>
      </c>
      <c r="D106" s="41" t="s">
        <v>182</v>
      </c>
      <c r="E106" s="42" t="s">
        <v>28</v>
      </c>
      <c r="F106" s="42">
        <f>TRUNC(K106,2)</f>
        <v>83.36</v>
      </c>
      <c r="G106" s="43">
        <f>L106</f>
        <v>213.37</v>
      </c>
      <c r="H106" s="42">
        <f>TRUNC(L106*L$12,2)</f>
        <v>272.32</v>
      </c>
      <c r="I106" s="42">
        <f>TRUNC(F106*H106,2)</f>
        <v>22700.59</v>
      </c>
      <c r="J106"/>
      <c r="K106" s="92">
        <f>(73.36+1.5+1.5+1.5+1.5+1.5+2.5)</f>
        <v>83.36</v>
      </c>
      <c r="L106" s="52">
        <v>213.37</v>
      </c>
      <c r="M106" s="92"/>
      <c r="N106" s="92">
        <f>(73.36+1.5+1.5+1.5+1.5+1.5+2.5)*0.25</f>
        <v>20.84</v>
      </c>
      <c r="O106" s="47"/>
      <c r="P106" s="47"/>
      <c r="Q106" s="47"/>
      <c r="R106" s="48"/>
      <c r="S106" s="49"/>
      <c r="T106" s="70"/>
    </row>
    <row r="107" spans="1:20" s="76" customFormat="1">
      <c r="A107" s="38"/>
      <c r="B107" s="38"/>
      <c r="C107" s="38"/>
      <c r="D107" s="32" t="s">
        <v>36</v>
      </c>
      <c r="E107" s="38"/>
      <c r="F107" s="38"/>
      <c r="G107" s="38"/>
      <c r="H107" s="38"/>
      <c r="I107" s="38">
        <f>TRUNC(SUM(I102:I106),2)</f>
        <v>71924.62</v>
      </c>
      <c r="J107"/>
      <c r="K107" s="53"/>
      <c r="L107" s="35"/>
      <c r="M107" s="72"/>
      <c r="N107" s="72"/>
      <c r="O107" s="73"/>
      <c r="P107" s="73"/>
      <c r="Q107" s="73"/>
      <c r="R107" s="74"/>
      <c r="S107" s="75"/>
      <c r="T107" s="75"/>
    </row>
    <row r="108" spans="1:20" s="76" customFormat="1" ht="5.25" customHeight="1">
      <c r="A108" s="102"/>
      <c r="B108" s="103"/>
      <c r="C108" s="103"/>
      <c r="D108" s="81"/>
      <c r="E108" s="82"/>
      <c r="F108" s="82"/>
      <c r="G108" s="96"/>
      <c r="H108" s="59"/>
      <c r="I108" s="82"/>
      <c r="J108"/>
      <c r="K108" s="53"/>
      <c r="L108" s="35"/>
      <c r="M108" s="72"/>
      <c r="N108" s="72"/>
      <c r="O108" s="73"/>
      <c r="P108" s="73"/>
      <c r="Q108" s="73"/>
      <c r="R108" s="74"/>
      <c r="S108" s="75"/>
      <c r="T108" s="75"/>
    </row>
    <row r="109" spans="1:20" s="37" customFormat="1">
      <c r="A109" s="38" t="s">
        <v>183</v>
      </c>
      <c r="B109" s="38"/>
      <c r="C109" s="38"/>
      <c r="D109" s="32" t="s">
        <v>184</v>
      </c>
      <c r="E109" s="32"/>
      <c r="F109" s="32"/>
      <c r="G109" s="33"/>
      <c r="H109" s="32"/>
      <c r="I109" s="32"/>
      <c r="J109"/>
      <c r="K109" s="78"/>
      <c r="L109" s="52"/>
      <c r="M109" s="7"/>
      <c r="N109" s="7"/>
      <c r="O109" s="9"/>
      <c r="P109" s="9"/>
      <c r="Q109" s="9"/>
      <c r="R109" s="10"/>
      <c r="S109" s="36"/>
      <c r="T109" s="11"/>
    </row>
    <row r="110" spans="1:20" s="50" customFormat="1" ht="22.5">
      <c r="A110" s="42" t="s">
        <v>185</v>
      </c>
      <c r="B110" s="40">
        <v>102184</v>
      </c>
      <c r="C110" s="40" t="s">
        <v>19</v>
      </c>
      <c r="D110" s="41" t="s">
        <v>186</v>
      </c>
      <c r="E110" s="63" t="s">
        <v>187</v>
      </c>
      <c r="F110" s="42">
        <f>TRUNC(K110,2)</f>
        <v>1</v>
      </c>
      <c r="G110" s="43">
        <f>L110</f>
        <v>2392</v>
      </c>
      <c r="H110" s="42">
        <f>TRUNC(L110*L$12,2)</f>
        <v>3052.9</v>
      </c>
      <c r="I110" s="42">
        <f>TRUNC(F110*H110,2)</f>
        <v>3052.9</v>
      </c>
      <c r="J110"/>
      <c r="K110" s="51">
        <v>1</v>
      </c>
      <c r="L110" s="52">
        <v>2392</v>
      </c>
      <c r="M110" s="60"/>
      <c r="N110" s="60"/>
      <c r="O110" s="47"/>
      <c r="P110" s="47"/>
      <c r="Q110" s="47"/>
      <c r="R110" s="48"/>
      <c r="S110" s="49"/>
      <c r="T110" s="70"/>
    </row>
    <row r="111" spans="1:20" s="50" customFormat="1" ht="22.5">
      <c r="A111" s="42" t="s">
        <v>188</v>
      </c>
      <c r="B111" s="40">
        <v>102167</v>
      </c>
      <c r="C111" s="40" t="s">
        <v>19</v>
      </c>
      <c r="D111" s="41" t="s">
        <v>189</v>
      </c>
      <c r="E111" s="63" t="s">
        <v>28</v>
      </c>
      <c r="F111" s="42">
        <f>TRUNC(K111,2)</f>
        <v>15.88</v>
      </c>
      <c r="G111" s="43">
        <f>L111</f>
        <v>601.21</v>
      </c>
      <c r="H111" s="42">
        <f>TRUNC(L111*L$12,2)</f>
        <v>767.32</v>
      </c>
      <c r="I111" s="42">
        <f>TRUNC(F111*H111,2)</f>
        <v>12185.04</v>
      </c>
      <c r="J111"/>
      <c r="K111" s="51">
        <f>(4*2*1.2+2*2*0.6+1.2*1+3*0.6*0.6+1+0.6)</f>
        <v>15.879999999999999</v>
      </c>
      <c r="L111" s="52">
        <v>601.21</v>
      </c>
      <c r="M111" s="60"/>
      <c r="N111" s="60"/>
      <c r="O111" s="47"/>
      <c r="P111" s="47"/>
      <c r="Q111" s="47"/>
      <c r="R111" s="48"/>
      <c r="S111" s="49"/>
      <c r="T111" s="70"/>
    </row>
    <row r="112" spans="1:20" s="50" customFormat="1" ht="22.5">
      <c r="A112" s="42" t="s">
        <v>190</v>
      </c>
      <c r="B112" s="40">
        <v>102181</v>
      </c>
      <c r="C112" s="40" t="s">
        <v>19</v>
      </c>
      <c r="D112" s="69" t="s">
        <v>191</v>
      </c>
      <c r="E112" s="42" t="s">
        <v>28</v>
      </c>
      <c r="F112" s="42">
        <f>TRUNC(K112,2)</f>
        <v>6.51</v>
      </c>
      <c r="G112" s="43">
        <f>L112</f>
        <v>622.09</v>
      </c>
      <c r="H112" s="42">
        <f>TRUNC(L112*L$12,2)</f>
        <v>793.97</v>
      </c>
      <c r="I112" s="42">
        <f>TRUNC(F112*H112,2)</f>
        <v>5168.74</v>
      </c>
      <c r="J112"/>
      <c r="K112" s="51">
        <f>4*2.1-0.9*2.1</f>
        <v>6.51</v>
      </c>
      <c r="L112" s="52">
        <v>622.09</v>
      </c>
      <c r="M112" s="60" t="s">
        <v>192</v>
      </c>
      <c r="N112" s="60"/>
      <c r="O112" s="47"/>
      <c r="P112" s="47"/>
      <c r="Q112" s="47"/>
      <c r="R112" s="48"/>
      <c r="S112" s="49"/>
      <c r="T112" s="70"/>
    </row>
    <row r="113" spans="1:20" s="76" customFormat="1">
      <c r="A113" s="38"/>
      <c r="B113" s="38"/>
      <c r="C113" s="38"/>
      <c r="D113" s="32" t="s">
        <v>36</v>
      </c>
      <c r="E113" s="38"/>
      <c r="F113" s="38"/>
      <c r="G113" s="38"/>
      <c r="H113" s="38"/>
      <c r="I113" s="38">
        <f>TRUNC(SUM(I110:I112),2)</f>
        <v>20406.68</v>
      </c>
      <c r="J113"/>
      <c r="K113" s="53"/>
      <c r="L113" s="35"/>
      <c r="M113" s="72"/>
      <c r="N113" s="72"/>
      <c r="O113" s="73"/>
      <c r="P113" s="73"/>
      <c r="Q113" s="73"/>
      <c r="R113" s="74"/>
      <c r="S113" s="75"/>
      <c r="T113" s="75"/>
    </row>
    <row r="114" spans="1:20" s="37" customFormat="1" ht="7.5" customHeight="1">
      <c r="A114" s="93"/>
      <c r="B114" s="94"/>
      <c r="C114" s="94"/>
      <c r="D114" s="81"/>
      <c r="E114" s="83"/>
      <c r="F114" s="82"/>
      <c r="G114" s="96"/>
      <c r="H114" s="59"/>
      <c r="I114" s="83"/>
      <c r="J114"/>
      <c r="K114" s="78"/>
      <c r="L114" s="52"/>
      <c r="M114" s="7"/>
      <c r="N114" s="7"/>
      <c r="O114" s="9"/>
      <c r="P114" s="9"/>
      <c r="Q114" s="9"/>
      <c r="R114" s="10"/>
      <c r="S114" s="36"/>
      <c r="T114" s="11"/>
    </row>
    <row r="115" spans="1:20" s="37" customFormat="1">
      <c r="A115" s="38" t="s">
        <v>193</v>
      </c>
      <c r="B115" s="38"/>
      <c r="C115" s="38"/>
      <c r="D115" s="32" t="s">
        <v>194</v>
      </c>
      <c r="E115" s="32"/>
      <c r="F115" s="32"/>
      <c r="G115" s="33"/>
      <c r="H115" s="32"/>
      <c r="I115" s="32"/>
      <c r="J115"/>
      <c r="K115" s="78"/>
      <c r="L115" s="52"/>
      <c r="M115" s="7"/>
      <c r="N115" s="7"/>
      <c r="O115" s="9"/>
      <c r="P115" s="9"/>
      <c r="Q115" s="9"/>
      <c r="R115" s="10"/>
      <c r="S115" s="36"/>
      <c r="T115" s="11"/>
    </row>
    <row r="116" spans="1:20" s="61" customFormat="1" ht="22.5">
      <c r="A116" s="42" t="s">
        <v>195</v>
      </c>
      <c r="B116" s="40" t="s">
        <v>196</v>
      </c>
      <c r="C116" s="40" t="s">
        <v>19</v>
      </c>
      <c r="D116" s="41" t="s">
        <v>197</v>
      </c>
      <c r="E116" s="42" t="s">
        <v>28</v>
      </c>
      <c r="F116" s="42">
        <f t="shared" ref="F116:F123" si="14">TRUNC(K116,2)</f>
        <v>330.82</v>
      </c>
      <c r="G116" s="43">
        <f t="shared" ref="G116:G123" si="15">L116</f>
        <v>19.75</v>
      </c>
      <c r="H116" s="42">
        <f t="shared" ref="H116:H123" si="16">TRUNC(L116*L$12,2)</f>
        <v>25.2</v>
      </c>
      <c r="I116" s="42">
        <f t="shared" ref="I116:I123" si="17">TRUNC(F116*H116,2)</f>
        <v>8336.66</v>
      </c>
      <c r="J116"/>
      <c r="K116" s="104">
        <f>98.47-2.5*2-4*2.1+6.9*5.45+18.15*3.05+6.9*1.8+0.8*6.9+10.5*4.2+3.75*4.2+18.75*2*2</f>
        <v>330.82249999999999</v>
      </c>
      <c r="L116" s="52">
        <v>19.75</v>
      </c>
      <c r="M116" s="60"/>
      <c r="N116" s="60"/>
      <c r="O116" s="47"/>
      <c r="P116" s="47"/>
      <c r="Q116" s="47"/>
      <c r="R116" s="48"/>
      <c r="S116" s="47"/>
      <c r="T116" s="47"/>
    </row>
    <row r="117" spans="1:20" s="61" customFormat="1" ht="33.75">
      <c r="A117" s="42" t="s">
        <v>198</v>
      </c>
      <c r="B117" s="40" t="s">
        <v>196</v>
      </c>
      <c r="C117" s="40" t="s">
        <v>19</v>
      </c>
      <c r="D117" s="41" t="s">
        <v>199</v>
      </c>
      <c r="E117" s="42" t="s">
        <v>28</v>
      </c>
      <c r="F117" s="42">
        <f t="shared" si="14"/>
        <v>17.3</v>
      </c>
      <c r="G117" s="43">
        <f t="shared" si="15"/>
        <v>19.75</v>
      </c>
      <c r="H117" s="42">
        <f t="shared" si="16"/>
        <v>25.2</v>
      </c>
      <c r="I117" s="42">
        <f t="shared" si="17"/>
        <v>435.96</v>
      </c>
      <c r="J117"/>
      <c r="K117" s="64">
        <f>11.14+3.85*0.4*4</f>
        <v>17.3</v>
      </c>
      <c r="L117" s="52">
        <v>19.75</v>
      </c>
      <c r="M117" s="60"/>
      <c r="N117" s="60"/>
      <c r="O117" s="47"/>
      <c r="P117" s="47"/>
      <c r="Q117" s="47"/>
      <c r="R117" s="48"/>
      <c r="S117" s="47"/>
      <c r="T117" s="47"/>
    </row>
    <row r="118" spans="1:20" s="50" customFormat="1" ht="22.5">
      <c r="A118" s="42" t="s">
        <v>200</v>
      </c>
      <c r="B118" s="40" t="s">
        <v>201</v>
      </c>
      <c r="C118" s="40" t="s">
        <v>19</v>
      </c>
      <c r="D118" s="41" t="s">
        <v>202</v>
      </c>
      <c r="E118" s="42" t="s">
        <v>28</v>
      </c>
      <c r="F118" s="42">
        <f t="shared" si="14"/>
        <v>407.98</v>
      </c>
      <c r="G118" s="43">
        <f t="shared" si="15"/>
        <v>13.71</v>
      </c>
      <c r="H118" s="42">
        <f t="shared" si="16"/>
        <v>17.489999999999998</v>
      </c>
      <c r="I118" s="42">
        <f t="shared" si="17"/>
        <v>7135.57</v>
      </c>
      <c r="J118"/>
      <c r="K118" s="51">
        <f>(4.05+4.05+8.16+8.16+4.05+4.05+4.1+4.1+4+4+3.05+3.05+61.74+4.35+4.35+2.75+2.75+1.35+4)*2.8+(1.4+1.4+3.05+3.05+1.55+1.55+3.05+3.05+2.2+2.2+4.05+4.05+7.8)*0.7</f>
        <v>407.98799999999994</v>
      </c>
      <c r="L118" s="52">
        <v>13.71</v>
      </c>
      <c r="M118" s="60"/>
      <c r="N118" s="68" t="s">
        <v>74</v>
      </c>
      <c r="O118" s="47"/>
      <c r="P118" s="47"/>
      <c r="Q118" s="47"/>
      <c r="R118" s="48"/>
      <c r="S118" s="49"/>
      <c r="T118" s="70"/>
    </row>
    <row r="119" spans="1:20" s="50" customFormat="1" ht="22.5">
      <c r="A119" s="42" t="s">
        <v>203</v>
      </c>
      <c r="B119" s="40" t="s">
        <v>204</v>
      </c>
      <c r="C119" s="40" t="s">
        <v>19</v>
      </c>
      <c r="D119" s="41" t="s">
        <v>205</v>
      </c>
      <c r="E119" s="42" t="s">
        <v>28</v>
      </c>
      <c r="F119" s="42">
        <f t="shared" si="14"/>
        <v>407.98</v>
      </c>
      <c r="G119" s="43">
        <f t="shared" si="15"/>
        <v>15.52</v>
      </c>
      <c r="H119" s="42">
        <f t="shared" si="16"/>
        <v>19.8</v>
      </c>
      <c r="I119" s="42">
        <f t="shared" si="17"/>
        <v>8078</v>
      </c>
      <c r="J119"/>
      <c r="K119" s="51">
        <f>K118</f>
        <v>407.98799999999994</v>
      </c>
      <c r="L119" s="52">
        <v>15.52</v>
      </c>
      <c r="M119" s="60"/>
      <c r="N119" s="68" t="s">
        <v>74</v>
      </c>
      <c r="O119" s="47"/>
      <c r="P119" s="47"/>
      <c r="Q119" s="47"/>
      <c r="R119" s="48"/>
      <c r="S119" s="49"/>
      <c r="T119" s="70"/>
    </row>
    <row r="120" spans="1:20" s="50" customFormat="1" ht="22.5">
      <c r="A120" s="42" t="s">
        <v>206</v>
      </c>
      <c r="B120" s="40">
        <v>102200</v>
      </c>
      <c r="C120" s="40" t="s">
        <v>19</v>
      </c>
      <c r="D120" s="41" t="s">
        <v>207</v>
      </c>
      <c r="E120" s="42" t="s">
        <v>28</v>
      </c>
      <c r="F120" s="42">
        <f t="shared" si="14"/>
        <v>28.14</v>
      </c>
      <c r="G120" s="43">
        <f t="shared" si="15"/>
        <v>20.52</v>
      </c>
      <c r="H120" s="42">
        <f t="shared" si="16"/>
        <v>26.18</v>
      </c>
      <c r="I120" s="42">
        <f t="shared" si="17"/>
        <v>736.7</v>
      </c>
      <c r="J120"/>
      <c r="K120" s="51">
        <f>(5*0.8*2.1+3*0.9*2.1)*2</f>
        <v>28.14</v>
      </c>
      <c r="L120" s="52">
        <v>20.52</v>
      </c>
      <c r="M120" s="60"/>
      <c r="N120" s="60"/>
      <c r="O120" s="47"/>
      <c r="P120" s="47"/>
      <c r="Q120" s="47"/>
      <c r="R120" s="48"/>
      <c r="S120" s="49"/>
      <c r="T120" s="70"/>
    </row>
    <row r="121" spans="1:20" s="50" customFormat="1" ht="22.5">
      <c r="A121" s="42" t="s">
        <v>208</v>
      </c>
      <c r="B121" s="40">
        <v>102219</v>
      </c>
      <c r="C121" s="40" t="s">
        <v>19</v>
      </c>
      <c r="D121" s="41" t="s">
        <v>209</v>
      </c>
      <c r="E121" s="42" t="s">
        <v>28</v>
      </c>
      <c r="F121" s="42">
        <f t="shared" si="14"/>
        <v>28.14</v>
      </c>
      <c r="G121" s="43">
        <f t="shared" si="15"/>
        <v>13.1</v>
      </c>
      <c r="H121" s="42">
        <f t="shared" si="16"/>
        <v>16.71</v>
      </c>
      <c r="I121" s="42">
        <f t="shared" si="17"/>
        <v>470.21</v>
      </c>
      <c r="J121"/>
      <c r="K121" s="51">
        <f>K120</f>
        <v>28.14</v>
      </c>
      <c r="L121" s="52">
        <v>13.1</v>
      </c>
      <c r="M121" s="60"/>
      <c r="N121" s="60"/>
      <c r="O121" s="47"/>
      <c r="P121" s="47"/>
      <c r="Q121" s="47"/>
      <c r="R121" s="48"/>
      <c r="S121" s="49"/>
      <c r="T121" s="70"/>
    </row>
    <row r="122" spans="1:20" s="50" customFormat="1" ht="45">
      <c r="A122" s="42" t="s">
        <v>210</v>
      </c>
      <c r="B122" s="40">
        <v>100742</v>
      </c>
      <c r="C122" s="40" t="s">
        <v>19</v>
      </c>
      <c r="D122" s="41" t="s">
        <v>211</v>
      </c>
      <c r="E122" s="42" t="s">
        <v>28</v>
      </c>
      <c r="F122" s="42">
        <f t="shared" si="14"/>
        <v>80.459999999999994</v>
      </c>
      <c r="G122" s="43">
        <f t="shared" si="15"/>
        <v>18.899999999999999</v>
      </c>
      <c r="H122" s="42">
        <f t="shared" si="16"/>
        <v>24.12</v>
      </c>
      <c r="I122" s="42">
        <f t="shared" si="17"/>
        <v>1940.69</v>
      </c>
      <c r="J122"/>
      <c r="K122" s="51">
        <f>(4*2*1.2+2*2*0.6+1.2*1+3*0.6*0.6+1+0.6+0.8*2.1*2)*4+3.5</f>
        <v>80.459999999999994</v>
      </c>
      <c r="L122" s="52">
        <v>18.899999999999999</v>
      </c>
      <c r="M122" s="60"/>
      <c r="O122" s="47"/>
      <c r="P122" s="47"/>
      <c r="Q122" s="47"/>
      <c r="R122" s="48"/>
      <c r="S122" s="49"/>
      <c r="T122" s="70"/>
    </row>
    <row r="123" spans="1:20" s="50" customFormat="1" ht="22.5">
      <c r="A123" s="42" t="s">
        <v>212</v>
      </c>
      <c r="B123" s="40">
        <v>102500</v>
      </c>
      <c r="C123" s="40" t="s">
        <v>19</v>
      </c>
      <c r="D123" s="41" t="s">
        <v>213</v>
      </c>
      <c r="E123" s="42" t="s">
        <v>113</v>
      </c>
      <c r="F123" s="42">
        <f t="shared" si="14"/>
        <v>58.7</v>
      </c>
      <c r="G123" s="43">
        <f t="shared" si="15"/>
        <v>3.46</v>
      </c>
      <c r="H123" s="42">
        <f t="shared" si="16"/>
        <v>4.41</v>
      </c>
      <c r="I123" s="42">
        <f t="shared" si="17"/>
        <v>258.86</v>
      </c>
      <c r="J123"/>
      <c r="K123" s="51">
        <f>6*5+11.8+1.4+10*1.55</f>
        <v>58.699999999999996</v>
      </c>
      <c r="L123" s="52">
        <v>3.46</v>
      </c>
      <c r="M123" s="60"/>
      <c r="O123" s="47"/>
      <c r="P123" s="47"/>
      <c r="Q123" s="47"/>
      <c r="R123" s="48"/>
      <c r="S123" s="49"/>
      <c r="T123" s="70"/>
    </row>
    <row r="124" spans="1:20" s="37" customFormat="1">
      <c r="A124" s="38"/>
      <c r="B124" s="38"/>
      <c r="C124" s="38"/>
      <c r="D124" s="32" t="s">
        <v>36</v>
      </c>
      <c r="E124" s="38"/>
      <c r="F124" s="38"/>
      <c r="G124" s="38"/>
      <c r="H124" s="38"/>
      <c r="I124" s="38">
        <f>TRUNC(SUM(I116:I123),2)</f>
        <v>27392.65</v>
      </c>
      <c r="J124"/>
      <c r="K124" s="105"/>
      <c r="L124" s="105"/>
      <c r="M124" s="72"/>
      <c r="N124" s="72"/>
      <c r="O124" s="9"/>
      <c r="P124" s="9"/>
      <c r="Q124" s="9"/>
      <c r="R124" s="10"/>
      <c r="S124" s="36"/>
      <c r="T124" s="11"/>
    </row>
    <row r="125" spans="1:20" s="50" customFormat="1" ht="6.75" customHeight="1">
      <c r="A125" s="79"/>
      <c r="B125" s="80"/>
      <c r="C125" s="80"/>
      <c r="D125" s="81"/>
      <c r="E125" s="82"/>
      <c r="F125" s="51"/>
      <c r="G125" s="51"/>
      <c r="H125" s="59"/>
      <c r="I125" s="83"/>
      <c r="J125"/>
      <c r="K125" s="51"/>
      <c r="L125" s="52"/>
      <c r="M125" s="60"/>
      <c r="N125" s="60"/>
      <c r="O125" s="47"/>
      <c r="P125" s="47"/>
      <c r="Q125" s="47"/>
      <c r="R125" s="48"/>
      <c r="S125" s="49"/>
      <c r="T125" s="70"/>
    </row>
    <row r="126" spans="1:20" s="37" customFormat="1">
      <c r="A126" s="38" t="s">
        <v>214</v>
      </c>
      <c r="B126" s="38"/>
      <c r="C126" s="38"/>
      <c r="D126" s="32" t="s">
        <v>215</v>
      </c>
      <c r="E126" s="32"/>
      <c r="F126" s="32"/>
      <c r="G126" s="33"/>
      <c r="H126" s="32"/>
      <c r="I126" s="32"/>
      <c r="J126"/>
      <c r="K126" s="78"/>
      <c r="L126" s="52"/>
      <c r="M126" s="7"/>
      <c r="N126" s="7"/>
      <c r="O126" s="9"/>
      <c r="P126" s="9"/>
      <c r="Q126" s="9"/>
      <c r="R126" s="10"/>
      <c r="S126" s="36"/>
      <c r="T126" s="11"/>
    </row>
    <row r="127" spans="1:20" s="91" customFormat="1" ht="33.75">
      <c r="A127" s="42" t="s">
        <v>216</v>
      </c>
      <c r="B127" s="40" t="s">
        <v>217</v>
      </c>
      <c r="C127" s="40" t="s">
        <v>218</v>
      </c>
      <c r="D127" s="41" t="s">
        <v>219</v>
      </c>
      <c r="E127" s="106" t="s">
        <v>220</v>
      </c>
      <c r="F127" s="42">
        <f t="shared" ref="F127:F158" si="18">TRUNC(K127,2)</f>
        <v>1</v>
      </c>
      <c r="G127" s="43">
        <f t="shared" ref="G127:G158" si="19">L127</f>
        <v>4821.3</v>
      </c>
      <c r="H127" s="42">
        <f t="shared" ref="H127:H158" si="20">TRUNC(L127*L$12,2)</f>
        <v>6153.42</v>
      </c>
      <c r="I127" s="42">
        <f t="shared" ref="I127:I158" si="21">TRUNC(F127*H127,2)</f>
        <v>6153.42</v>
      </c>
      <c r="J127"/>
      <c r="K127" s="51">
        <v>1</v>
      </c>
      <c r="L127" s="51">
        <v>4821.3</v>
      </c>
      <c r="M127" s="8"/>
      <c r="N127" s="8"/>
      <c r="O127" s="87"/>
      <c r="P127" s="87"/>
      <c r="Q127" s="87"/>
      <c r="R127" s="88"/>
      <c r="S127" s="89"/>
      <c r="T127" s="90"/>
    </row>
    <row r="128" spans="1:20" s="91" customFormat="1" ht="22.5">
      <c r="A128" s="42" t="s">
        <v>221</v>
      </c>
      <c r="B128" s="40">
        <v>92986</v>
      </c>
      <c r="C128" s="40" t="s">
        <v>19</v>
      </c>
      <c r="D128" s="41" t="s">
        <v>222</v>
      </c>
      <c r="E128" s="106" t="s">
        <v>113</v>
      </c>
      <c r="F128" s="42">
        <f t="shared" si="18"/>
        <v>93.42</v>
      </c>
      <c r="G128" s="43">
        <f t="shared" si="19"/>
        <v>35.020000000000003</v>
      </c>
      <c r="H128" s="42">
        <f t="shared" si="20"/>
        <v>44.69</v>
      </c>
      <c r="I128" s="42">
        <f t="shared" si="21"/>
        <v>4174.93</v>
      </c>
      <c r="J128"/>
      <c r="K128" s="51">
        <f>(K129*3)</f>
        <v>93.420000000000016</v>
      </c>
      <c r="L128" s="51">
        <v>35.020000000000003</v>
      </c>
      <c r="M128" s="8"/>
      <c r="N128" s="8"/>
      <c r="O128" s="87"/>
      <c r="P128" s="87"/>
      <c r="Q128" s="87"/>
      <c r="R128" s="88"/>
      <c r="S128" s="89"/>
      <c r="T128" s="90"/>
    </row>
    <row r="129" spans="1:20" s="91" customFormat="1" ht="22.5">
      <c r="A129" s="42" t="s">
        <v>223</v>
      </c>
      <c r="B129" s="40">
        <v>92984</v>
      </c>
      <c r="C129" s="40" t="s">
        <v>19</v>
      </c>
      <c r="D129" s="41" t="s">
        <v>224</v>
      </c>
      <c r="E129" s="106" t="s">
        <v>113</v>
      </c>
      <c r="F129" s="42">
        <f t="shared" si="18"/>
        <v>31.14</v>
      </c>
      <c r="G129" s="43">
        <f t="shared" si="19"/>
        <v>25.79</v>
      </c>
      <c r="H129" s="42">
        <f t="shared" si="20"/>
        <v>32.909999999999997</v>
      </c>
      <c r="I129" s="42">
        <f t="shared" si="21"/>
        <v>1024.81</v>
      </c>
      <c r="J129"/>
      <c r="K129" s="51">
        <f>(11.72+8.4+5.62+1.8+1.5+2.1)</f>
        <v>31.140000000000004</v>
      </c>
      <c r="L129" s="51">
        <v>25.79</v>
      </c>
      <c r="M129" s="8"/>
      <c r="N129" s="8"/>
      <c r="O129" s="87"/>
      <c r="P129" s="87"/>
      <c r="Q129" s="87"/>
      <c r="R129" s="88"/>
      <c r="S129" s="89"/>
      <c r="T129" s="90"/>
    </row>
    <row r="130" spans="1:20" s="91" customFormat="1" ht="33.75">
      <c r="A130" s="42" t="s">
        <v>225</v>
      </c>
      <c r="B130" s="40">
        <v>92981</v>
      </c>
      <c r="C130" s="40" t="s">
        <v>19</v>
      </c>
      <c r="D130" s="41" t="s">
        <v>226</v>
      </c>
      <c r="E130" s="106" t="s">
        <v>113</v>
      </c>
      <c r="F130" s="42">
        <f t="shared" si="18"/>
        <v>128.93</v>
      </c>
      <c r="G130" s="43">
        <f t="shared" si="19"/>
        <v>14.88</v>
      </c>
      <c r="H130" s="42">
        <f t="shared" si="20"/>
        <v>18.989999999999998</v>
      </c>
      <c r="I130" s="42">
        <f t="shared" si="21"/>
        <v>2448.38</v>
      </c>
      <c r="J130"/>
      <c r="K130" s="51">
        <f>(3.5+2.3+1.5+3.01+2.5+23+4.5)*3+(3*0.8)+(4*1.4)</f>
        <v>128.93</v>
      </c>
      <c r="L130" s="51">
        <v>14.88</v>
      </c>
      <c r="M130" s="8"/>
      <c r="N130" s="8"/>
      <c r="O130" s="87"/>
      <c r="P130" s="87"/>
      <c r="Q130" s="87"/>
      <c r="R130" s="88"/>
      <c r="S130" s="89"/>
      <c r="T130" s="90"/>
    </row>
    <row r="131" spans="1:20" s="91" customFormat="1" ht="22.5">
      <c r="A131" s="42" t="s">
        <v>227</v>
      </c>
      <c r="B131" s="40">
        <v>92979</v>
      </c>
      <c r="C131" s="40" t="s">
        <v>19</v>
      </c>
      <c r="D131" s="41" t="s">
        <v>228</v>
      </c>
      <c r="E131" s="106" t="s">
        <v>113</v>
      </c>
      <c r="F131" s="42">
        <f t="shared" si="18"/>
        <v>48.71</v>
      </c>
      <c r="G131" s="43">
        <f t="shared" si="19"/>
        <v>9.68</v>
      </c>
      <c r="H131" s="42">
        <f t="shared" si="20"/>
        <v>12.35</v>
      </c>
      <c r="I131" s="42">
        <f t="shared" si="21"/>
        <v>601.55999999999995</v>
      </c>
      <c r="J131"/>
      <c r="K131" s="51">
        <f>(3.5+2.3+3.9+3.01+2.5+9+3.5+21)</f>
        <v>48.71</v>
      </c>
      <c r="L131" s="51">
        <v>9.68</v>
      </c>
      <c r="M131" s="8"/>
      <c r="N131" s="8"/>
      <c r="O131" s="87"/>
      <c r="P131" s="87"/>
      <c r="Q131" s="87"/>
      <c r="R131" s="88"/>
      <c r="S131" s="89"/>
      <c r="T131" s="90"/>
    </row>
    <row r="132" spans="1:20" s="91" customFormat="1" ht="33.75">
      <c r="A132" s="42" t="s">
        <v>229</v>
      </c>
      <c r="B132" s="40">
        <v>91930</v>
      </c>
      <c r="C132" s="40" t="s">
        <v>19</v>
      </c>
      <c r="D132" s="41" t="s">
        <v>230</v>
      </c>
      <c r="E132" s="106" t="s">
        <v>113</v>
      </c>
      <c r="F132" s="42">
        <f t="shared" si="18"/>
        <v>69.55</v>
      </c>
      <c r="G132" s="43">
        <f t="shared" si="19"/>
        <v>8.3000000000000007</v>
      </c>
      <c r="H132" s="42">
        <f t="shared" si="20"/>
        <v>10.59</v>
      </c>
      <c r="I132" s="42">
        <f t="shared" si="21"/>
        <v>736.53</v>
      </c>
      <c r="J132"/>
      <c r="K132" s="51">
        <f>((1.1+16.41+1.5+2.5)+((1.1+16.41+4.01+2.5))*2)</f>
        <v>69.550000000000011</v>
      </c>
      <c r="L132" s="51">
        <v>8.3000000000000007</v>
      </c>
      <c r="M132" s="8"/>
      <c r="N132" s="8"/>
      <c r="O132" s="87"/>
      <c r="P132" s="87"/>
      <c r="Q132" s="87"/>
      <c r="R132" s="88"/>
      <c r="S132" s="89"/>
      <c r="T132" s="90"/>
    </row>
    <row r="133" spans="1:20" s="91" customFormat="1" ht="33.75">
      <c r="A133" s="42" t="s">
        <v>231</v>
      </c>
      <c r="B133" s="40">
        <v>91928</v>
      </c>
      <c r="C133" s="40" t="s">
        <v>19</v>
      </c>
      <c r="D133" s="41" t="s">
        <v>232</v>
      </c>
      <c r="E133" s="106" t="s">
        <v>113</v>
      </c>
      <c r="F133" s="42">
        <f t="shared" si="18"/>
        <v>403.89</v>
      </c>
      <c r="G133" s="43">
        <f t="shared" si="19"/>
        <v>6.05</v>
      </c>
      <c r="H133" s="42">
        <f t="shared" si="20"/>
        <v>7.72</v>
      </c>
      <c r="I133" s="42">
        <f t="shared" si="21"/>
        <v>3118.03</v>
      </c>
      <c r="J133"/>
      <c r="K133" s="51">
        <f>((35.5+1.1+16.36+12.3+5.33+2.21+5.4+4.33+2.8+19.2+4.8+2.8+2.5+2.5)+(5*3.5))*3</f>
        <v>403.89</v>
      </c>
      <c r="L133" s="51">
        <v>6.05</v>
      </c>
      <c r="M133" s="8"/>
      <c r="N133" s="8"/>
      <c r="O133" s="87"/>
      <c r="P133" s="87"/>
      <c r="Q133" s="87"/>
      <c r="R133" s="88"/>
      <c r="S133" s="89"/>
      <c r="T133" s="90"/>
    </row>
    <row r="134" spans="1:20" s="91" customFormat="1" ht="33.75">
      <c r="A134" s="42" t="s">
        <v>233</v>
      </c>
      <c r="B134" s="40">
        <v>91926</v>
      </c>
      <c r="C134" s="40" t="s">
        <v>19</v>
      </c>
      <c r="D134" s="41" t="s">
        <v>234</v>
      </c>
      <c r="E134" s="106" t="s">
        <v>113</v>
      </c>
      <c r="F134" s="42">
        <f t="shared" si="18"/>
        <v>558.36</v>
      </c>
      <c r="G134" s="43">
        <f t="shared" si="19"/>
        <v>3.68</v>
      </c>
      <c r="H134" s="42">
        <f t="shared" si="20"/>
        <v>4.6900000000000004</v>
      </c>
      <c r="I134" s="42">
        <f t="shared" si="21"/>
        <v>2618.6999999999998</v>
      </c>
      <c r="J134"/>
      <c r="K134" s="51">
        <f>((16.33+16.33+16.33+4.33+2.1+6.2+5.8+7.5+2.5+1.5+1.5+1.5+1.5+7.8+4.5+6.2+23.8+2.8+2.4+1.2+1.5+9+9+8.5+8.5)+(7*2.5))*3</f>
        <v>558.36</v>
      </c>
      <c r="L134" s="51">
        <v>3.68</v>
      </c>
      <c r="M134" s="8"/>
      <c r="N134" s="8"/>
      <c r="O134" s="87"/>
      <c r="P134" s="87"/>
      <c r="Q134" s="87"/>
      <c r="R134" s="88"/>
      <c r="S134" s="89"/>
      <c r="T134" s="90"/>
    </row>
    <row r="135" spans="1:20" s="91" customFormat="1" ht="33.75">
      <c r="A135" s="42" t="s">
        <v>235</v>
      </c>
      <c r="B135" s="40">
        <v>91924</v>
      </c>
      <c r="C135" s="40" t="s">
        <v>19</v>
      </c>
      <c r="D135" s="41" t="s">
        <v>236</v>
      </c>
      <c r="E135" s="106" t="s">
        <v>113</v>
      </c>
      <c r="F135" s="42">
        <f t="shared" si="18"/>
        <v>344.79</v>
      </c>
      <c r="G135" s="43">
        <f t="shared" si="19"/>
        <v>2.5099999999999998</v>
      </c>
      <c r="H135" s="42">
        <f t="shared" si="20"/>
        <v>3.2</v>
      </c>
      <c r="I135" s="42">
        <f t="shared" si="21"/>
        <v>1103.32</v>
      </c>
      <c r="J135"/>
      <c r="K135" s="51">
        <f>((4.8+4.8+3.2+3.2+5.2+5.2+3.7+3.7+3.8+4.3+7.5+21.6+2.8+1.5+1.5+1+2.5+1.9+1.23)+(9*3.5))*3</f>
        <v>344.79</v>
      </c>
      <c r="L135" s="51">
        <v>2.5099999999999998</v>
      </c>
      <c r="M135" s="8"/>
      <c r="N135" s="8"/>
      <c r="O135" s="87"/>
      <c r="P135" s="87"/>
      <c r="Q135" s="87"/>
      <c r="R135" s="88"/>
      <c r="S135" s="89"/>
      <c r="T135" s="90"/>
    </row>
    <row r="136" spans="1:20" s="91" customFormat="1" ht="22.5">
      <c r="A136" s="42" t="s">
        <v>237</v>
      </c>
      <c r="B136" s="40">
        <v>96977</v>
      </c>
      <c r="C136" s="40" t="s">
        <v>19</v>
      </c>
      <c r="D136" s="41" t="s">
        <v>238</v>
      </c>
      <c r="E136" s="106" t="s">
        <v>113</v>
      </c>
      <c r="F136" s="42">
        <f t="shared" si="18"/>
        <v>25.8</v>
      </c>
      <c r="G136" s="43">
        <f t="shared" si="19"/>
        <v>55.17</v>
      </c>
      <c r="H136" s="42">
        <f t="shared" si="20"/>
        <v>70.41</v>
      </c>
      <c r="I136" s="42">
        <f t="shared" si="21"/>
        <v>1816.57</v>
      </c>
      <c r="J136"/>
      <c r="K136" s="51">
        <f>(3+3+11.5+8.3)</f>
        <v>25.8</v>
      </c>
      <c r="L136" s="51">
        <v>55.17</v>
      </c>
      <c r="M136" s="8"/>
      <c r="N136" s="8"/>
      <c r="O136" s="87"/>
      <c r="P136" s="87"/>
      <c r="Q136" s="87"/>
      <c r="R136" s="88"/>
      <c r="S136" s="89"/>
      <c r="T136" s="90"/>
    </row>
    <row r="137" spans="1:20" s="91" customFormat="1" ht="22.5">
      <c r="A137" s="42" t="s">
        <v>239</v>
      </c>
      <c r="B137" s="40">
        <v>90444</v>
      </c>
      <c r="C137" s="40" t="s">
        <v>19</v>
      </c>
      <c r="D137" s="41" t="s">
        <v>240</v>
      </c>
      <c r="E137" s="106" t="s">
        <v>113</v>
      </c>
      <c r="F137" s="42">
        <f t="shared" si="18"/>
        <v>28.8</v>
      </c>
      <c r="G137" s="43">
        <f t="shared" si="19"/>
        <v>19.059999999999999</v>
      </c>
      <c r="H137" s="42">
        <f t="shared" si="20"/>
        <v>24.32</v>
      </c>
      <c r="I137" s="42">
        <f t="shared" si="21"/>
        <v>700.41</v>
      </c>
      <c r="J137"/>
      <c r="K137" s="51">
        <v>28.8</v>
      </c>
      <c r="L137" s="51">
        <v>19.059999999999999</v>
      </c>
      <c r="M137" s="8"/>
      <c r="N137" s="8"/>
      <c r="O137" s="87"/>
      <c r="P137" s="87"/>
      <c r="Q137" s="87"/>
      <c r="R137" s="88"/>
      <c r="S137" s="89"/>
      <c r="T137" s="90"/>
    </row>
    <row r="138" spans="1:20" s="91" customFormat="1" ht="22.5">
      <c r="A138" s="42" t="s">
        <v>241</v>
      </c>
      <c r="B138" s="40">
        <v>90447</v>
      </c>
      <c r="C138" s="40" t="s">
        <v>19</v>
      </c>
      <c r="D138" s="41" t="s">
        <v>242</v>
      </c>
      <c r="E138" s="106" t="s">
        <v>113</v>
      </c>
      <c r="F138" s="42">
        <f t="shared" si="18"/>
        <v>62</v>
      </c>
      <c r="G138" s="43">
        <f t="shared" si="19"/>
        <v>5.05</v>
      </c>
      <c r="H138" s="42">
        <f t="shared" si="20"/>
        <v>6.44</v>
      </c>
      <c r="I138" s="42">
        <f t="shared" si="21"/>
        <v>399.28</v>
      </c>
      <c r="J138"/>
      <c r="K138" s="51">
        <v>62</v>
      </c>
      <c r="L138" s="51">
        <v>5.05</v>
      </c>
      <c r="M138" s="8"/>
      <c r="N138" s="8"/>
      <c r="O138" s="87"/>
      <c r="P138" s="87"/>
      <c r="Q138" s="87"/>
      <c r="R138" s="88"/>
      <c r="S138" s="89"/>
      <c r="T138" s="90"/>
    </row>
    <row r="139" spans="1:20" s="50" customFormat="1" ht="22.5">
      <c r="A139" s="42" t="s">
        <v>243</v>
      </c>
      <c r="B139" s="40">
        <v>97669</v>
      </c>
      <c r="C139" s="40" t="s">
        <v>19</v>
      </c>
      <c r="D139" s="41" t="s">
        <v>244</v>
      </c>
      <c r="E139" s="106" t="s">
        <v>113</v>
      </c>
      <c r="F139" s="42">
        <f t="shared" si="18"/>
        <v>34.799999999999997</v>
      </c>
      <c r="G139" s="43">
        <f t="shared" si="19"/>
        <v>13.92</v>
      </c>
      <c r="H139" s="42">
        <f t="shared" si="20"/>
        <v>17.760000000000002</v>
      </c>
      <c r="I139" s="42">
        <f t="shared" si="21"/>
        <v>618.04</v>
      </c>
      <c r="J139"/>
      <c r="K139" s="51">
        <v>34.799999999999997</v>
      </c>
      <c r="L139" s="51">
        <v>13.92</v>
      </c>
      <c r="M139" s="60"/>
      <c r="N139" s="60"/>
      <c r="O139" s="47"/>
      <c r="P139" s="47"/>
      <c r="Q139" s="47"/>
      <c r="R139" s="48"/>
      <c r="S139" s="49"/>
      <c r="T139" s="70"/>
    </row>
    <row r="140" spans="1:20" s="50" customFormat="1" ht="33.75">
      <c r="A140" s="42" t="s">
        <v>245</v>
      </c>
      <c r="B140" s="40">
        <v>91854</v>
      </c>
      <c r="C140" s="40" t="s">
        <v>19</v>
      </c>
      <c r="D140" s="41" t="s">
        <v>246</v>
      </c>
      <c r="E140" s="106" t="s">
        <v>113</v>
      </c>
      <c r="F140" s="42">
        <f t="shared" si="18"/>
        <v>132</v>
      </c>
      <c r="G140" s="43">
        <f t="shared" si="19"/>
        <v>7.75</v>
      </c>
      <c r="H140" s="42">
        <f t="shared" si="20"/>
        <v>9.89</v>
      </c>
      <c r="I140" s="42">
        <f t="shared" si="21"/>
        <v>1305.48</v>
      </c>
      <c r="J140"/>
      <c r="K140" s="51">
        <f>(50+(11*2.5))+(4*2.2)+31.2+14.5</f>
        <v>132</v>
      </c>
      <c r="L140" s="51">
        <v>7.75</v>
      </c>
      <c r="M140" s="60"/>
      <c r="N140" s="60"/>
      <c r="O140" s="47"/>
      <c r="P140" s="47"/>
      <c r="Q140" s="47"/>
      <c r="R140" s="48"/>
      <c r="S140" s="49"/>
      <c r="T140" s="70"/>
    </row>
    <row r="141" spans="1:20" s="50" customFormat="1" ht="33.75">
      <c r="A141" s="42" t="s">
        <v>247</v>
      </c>
      <c r="B141" s="40">
        <v>91871</v>
      </c>
      <c r="C141" s="40" t="s">
        <v>19</v>
      </c>
      <c r="D141" s="41" t="s">
        <v>248</v>
      </c>
      <c r="E141" s="106" t="s">
        <v>113</v>
      </c>
      <c r="F141" s="42">
        <f t="shared" si="18"/>
        <v>45.7</v>
      </c>
      <c r="G141" s="43">
        <f t="shared" si="19"/>
        <v>10.8</v>
      </c>
      <c r="H141" s="42">
        <f t="shared" si="20"/>
        <v>13.78</v>
      </c>
      <c r="I141" s="42">
        <f t="shared" si="21"/>
        <v>629.74</v>
      </c>
      <c r="J141"/>
      <c r="K141" s="51">
        <f>31.2+14.5</f>
        <v>45.7</v>
      </c>
      <c r="L141" s="51">
        <v>10.8</v>
      </c>
      <c r="M141" s="60"/>
      <c r="N141" s="60"/>
      <c r="O141" s="47"/>
      <c r="P141" s="47"/>
      <c r="Q141" s="47"/>
      <c r="R141" s="48"/>
      <c r="S141" s="49"/>
      <c r="T141" s="70"/>
    </row>
    <row r="142" spans="1:20" s="50" customFormat="1" ht="33.75">
      <c r="A142" s="42" t="s">
        <v>249</v>
      </c>
      <c r="B142" s="40">
        <v>95778</v>
      </c>
      <c r="C142" s="40" t="s">
        <v>19</v>
      </c>
      <c r="D142" s="41" t="s">
        <v>250</v>
      </c>
      <c r="E142" s="106" t="s">
        <v>32</v>
      </c>
      <c r="F142" s="42">
        <f t="shared" si="18"/>
        <v>11</v>
      </c>
      <c r="G142" s="43">
        <f t="shared" si="19"/>
        <v>26.09</v>
      </c>
      <c r="H142" s="42">
        <f t="shared" si="20"/>
        <v>33.29</v>
      </c>
      <c r="I142" s="42">
        <f t="shared" si="21"/>
        <v>366.19</v>
      </c>
      <c r="J142"/>
      <c r="K142" s="51">
        <v>11</v>
      </c>
      <c r="L142" s="51">
        <v>26.09</v>
      </c>
      <c r="M142" s="60"/>
      <c r="N142" s="60"/>
      <c r="O142" s="47"/>
      <c r="P142" s="47"/>
      <c r="Q142" s="47"/>
      <c r="R142" s="48"/>
      <c r="S142" s="49"/>
      <c r="T142" s="70"/>
    </row>
    <row r="143" spans="1:20" s="50" customFormat="1" ht="22.5">
      <c r="A143" s="42" t="s">
        <v>251</v>
      </c>
      <c r="B143" s="40" t="s">
        <v>217</v>
      </c>
      <c r="C143" s="40" t="s">
        <v>252</v>
      </c>
      <c r="D143" s="41" t="s">
        <v>253</v>
      </c>
      <c r="E143" s="106" t="s">
        <v>32</v>
      </c>
      <c r="F143" s="42">
        <f t="shared" si="18"/>
        <v>2</v>
      </c>
      <c r="G143" s="43">
        <f t="shared" si="19"/>
        <v>74.22</v>
      </c>
      <c r="H143" s="42">
        <f t="shared" si="20"/>
        <v>94.72</v>
      </c>
      <c r="I143" s="42">
        <f t="shared" si="21"/>
        <v>189.44</v>
      </c>
      <c r="J143"/>
      <c r="K143" s="51">
        <v>2</v>
      </c>
      <c r="L143" s="51">
        <v>74.22</v>
      </c>
      <c r="M143" s="60"/>
      <c r="N143" s="60"/>
      <c r="O143" s="47"/>
      <c r="P143" s="47"/>
      <c r="Q143" s="47"/>
      <c r="R143" s="48"/>
      <c r="S143" s="49"/>
      <c r="T143" s="70"/>
    </row>
    <row r="144" spans="1:20" s="50" customFormat="1" ht="22.5">
      <c r="A144" s="42" t="s">
        <v>254</v>
      </c>
      <c r="B144" s="40">
        <v>92008</v>
      </c>
      <c r="C144" s="40" t="s">
        <v>19</v>
      </c>
      <c r="D144" s="41" t="s">
        <v>255</v>
      </c>
      <c r="E144" s="106" t="s">
        <v>32</v>
      </c>
      <c r="F144" s="42">
        <f t="shared" si="18"/>
        <v>24</v>
      </c>
      <c r="G144" s="43">
        <f t="shared" si="19"/>
        <v>35.85</v>
      </c>
      <c r="H144" s="42">
        <f t="shared" si="20"/>
        <v>45.75</v>
      </c>
      <c r="I144" s="42">
        <f t="shared" si="21"/>
        <v>1098</v>
      </c>
      <c r="J144"/>
      <c r="K144" s="51">
        <v>24</v>
      </c>
      <c r="L144" s="51">
        <v>35.85</v>
      </c>
      <c r="M144" s="60"/>
      <c r="N144" s="60"/>
      <c r="O144" s="47"/>
      <c r="P144" s="47"/>
      <c r="Q144" s="47"/>
      <c r="R144" s="48"/>
      <c r="S144" s="49"/>
      <c r="T144" s="70"/>
    </row>
    <row r="145" spans="1:20" s="50" customFormat="1" ht="22.5">
      <c r="A145" s="42" t="s">
        <v>256</v>
      </c>
      <c r="B145" s="40">
        <v>92004</v>
      </c>
      <c r="C145" s="40" t="s">
        <v>19</v>
      </c>
      <c r="D145" s="41" t="s">
        <v>257</v>
      </c>
      <c r="E145" s="106" t="s">
        <v>32</v>
      </c>
      <c r="F145" s="42">
        <f t="shared" si="18"/>
        <v>8</v>
      </c>
      <c r="G145" s="43">
        <f t="shared" si="19"/>
        <v>41.39</v>
      </c>
      <c r="H145" s="42">
        <f t="shared" si="20"/>
        <v>52.82</v>
      </c>
      <c r="I145" s="42">
        <f t="shared" si="21"/>
        <v>422.56</v>
      </c>
      <c r="J145"/>
      <c r="K145" s="51">
        <v>8</v>
      </c>
      <c r="L145" s="51">
        <v>41.39</v>
      </c>
      <c r="M145" s="60"/>
      <c r="N145" s="60"/>
      <c r="O145" s="47"/>
      <c r="P145" s="47"/>
      <c r="Q145" s="47"/>
      <c r="R145" s="48"/>
      <c r="S145" s="49"/>
      <c r="T145" s="70"/>
    </row>
    <row r="146" spans="1:20" s="50" customFormat="1" ht="22.5">
      <c r="A146" s="42" t="s">
        <v>258</v>
      </c>
      <c r="B146" s="40">
        <v>92005</v>
      </c>
      <c r="C146" s="40" t="s">
        <v>19</v>
      </c>
      <c r="D146" s="41" t="s">
        <v>259</v>
      </c>
      <c r="E146" s="106" t="s">
        <v>32</v>
      </c>
      <c r="F146" s="42">
        <f t="shared" si="18"/>
        <v>2</v>
      </c>
      <c r="G146" s="43">
        <f t="shared" si="19"/>
        <v>45.27</v>
      </c>
      <c r="H146" s="42">
        <f t="shared" si="20"/>
        <v>57.77</v>
      </c>
      <c r="I146" s="42">
        <f t="shared" si="21"/>
        <v>115.54</v>
      </c>
      <c r="J146"/>
      <c r="K146" s="51">
        <v>2</v>
      </c>
      <c r="L146" s="51">
        <v>45.27</v>
      </c>
      <c r="M146" s="60"/>
      <c r="N146" s="60"/>
      <c r="O146" s="47"/>
      <c r="P146" s="47"/>
      <c r="Q146" s="47"/>
      <c r="R146" s="48"/>
      <c r="S146" s="49"/>
      <c r="T146" s="70"/>
    </row>
    <row r="147" spans="1:20" s="50" customFormat="1" ht="22.5">
      <c r="A147" s="42" t="s">
        <v>260</v>
      </c>
      <c r="B147" s="40">
        <v>91992</v>
      </c>
      <c r="C147" s="40" t="s">
        <v>19</v>
      </c>
      <c r="D147" s="41" t="s">
        <v>261</v>
      </c>
      <c r="E147" s="106" t="s">
        <v>32</v>
      </c>
      <c r="F147" s="42">
        <f t="shared" si="18"/>
        <v>6</v>
      </c>
      <c r="G147" s="43">
        <f t="shared" si="19"/>
        <v>32.22</v>
      </c>
      <c r="H147" s="42">
        <f t="shared" si="20"/>
        <v>41.12</v>
      </c>
      <c r="I147" s="42">
        <f t="shared" si="21"/>
        <v>246.72</v>
      </c>
      <c r="J147"/>
      <c r="K147" s="51">
        <v>6</v>
      </c>
      <c r="L147" s="51">
        <v>32.22</v>
      </c>
      <c r="M147" s="60"/>
      <c r="N147" s="60"/>
      <c r="O147" s="47"/>
      <c r="P147" s="47"/>
      <c r="Q147" s="47"/>
      <c r="R147" s="48"/>
      <c r="S147" s="49"/>
      <c r="T147" s="70"/>
    </row>
    <row r="148" spans="1:20" s="50" customFormat="1" ht="22.5">
      <c r="A148" s="42" t="s">
        <v>262</v>
      </c>
      <c r="B148" s="40">
        <v>91953</v>
      </c>
      <c r="C148" s="40" t="s">
        <v>19</v>
      </c>
      <c r="D148" s="41" t="s">
        <v>263</v>
      </c>
      <c r="E148" s="106" t="s">
        <v>32</v>
      </c>
      <c r="F148" s="42">
        <f t="shared" si="18"/>
        <v>6</v>
      </c>
      <c r="G148" s="43">
        <f t="shared" si="19"/>
        <v>21.09</v>
      </c>
      <c r="H148" s="42">
        <f t="shared" si="20"/>
        <v>26.91</v>
      </c>
      <c r="I148" s="42">
        <f t="shared" si="21"/>
        <v>161.46</v>
      </c>
      <c r="J148"/>
      <c r="K148" s="51">
        <v>6</v>
      </c>
      <c r="L148" s="51">
        <v>21.09</v>
      </c>
      <c r="M148" s="60"/>
      <c r="N148" s="60"/>
      <c r="O148" s="47"/>
      <c r="P148" s="47"/>
      <c r="Q148" s="47"/>
      <c r="R148" s="48"/>
      <c r="S148" s="49"/>
      <c r="T148" s="70"/>
    </row>
    <row r="149" spans="1:20" s="50" customFormat="1" ht="22.5">
      <c r="A149" s="42" t="s">
        <v>264</v>
      </c>
      <c r="B149" s="40">
        <v>91961</v>
      </c>
      <c r="C149" s="40" t="s">
        <v>19</v>
      </c>
      <c r="D149" s="41" t="s">
        <v>265</v>
      </c>
      <c r="E149" s="106" t="s">
        <v>32</v>
      </c>
      <c r="F149" s="42">
        <f t="shared" si="18"/>
        <v>2</v>
      </c>
      <c r="G149" s="43">
        <f t="shared" si="19"/>
        <v>43.41</v>
      </c>
      <c r="H149" s="42">
        <f t="shared" si="20"/>
        <v>55.4</v>
      </c>
      <c r="I149" s="42">
        <f t="shared" si="21"/>
        <v>110.8</v>
      </c>
      <c r="J149"/>
      <c r="K149" s="51">
        <v>2</v>
      </c>
      <c r="L149" s="51">
        <v>43.41</v>
      </c>
      <c r="M149" s="60"/>
      <c r="N149" s="60"/>
      <c r="O149" s="47"/>
      <c r="P149" s="47"/>
      <c r="Q149" s="47"/>
      <c r="R149" s="48"/>
      <c r="S149" s="49"/>
      <c r="T149" s="70"/>
    </row>
    <row r="150" spans="1:20" s="50" customFormat="1" ht="33.75">
      <c r="A150" s="42" t="s">
        <v>266</v>
      </c>
      <c r="B150" s="40">
        <v>91965</v>
      </c>
      <c r="C150" s="40" t="s">
        <v>19</v>
      </c>
      <c r="D150" s="41" t="s">
        <v>267</v>
      </c>
      <c r="E150" s="106" t="s">
        <v>32</v>
      </c>
      <c r="F150" s="42">
        <f t="shared" si="18"/>
        <v>3</v>
      </c>
      <c r="G150" s="43">
        <f t="shared" si="19"/>
        <v>50.76</v>
      </c>
      <c r="H150" s="42">
        <f t="shared" si="20"/>
        <v>64.78</v>
      </c>
      <c r="I150" s="42">
        <f t="shared" si="21"/>
        <v>194.34</v>
      </c>
      <c r="J150"/>
      <c r="K150" s="51">
        <v>3</v>
      </c>
      <c r="L150" s="51">
        <v>50.76</v>
      </c>
      <c r="M150" s="60"/>
      <c r="N150" s="60"/>
      <c r="O150" s="47"/>
      <c r="P150" s="47"/>
      <c r="Q150" s="47"/>
      <c r="R150" s="48"/>
      <c r="S150" s="49"/>
      <c r="T150" s="70"/>
    </row>
    <row r="151" spans="1:20" s="50" customFormat="1" ht="33.75">
      <c r="A151" s="42" t="s">
        <v>268</v>
      </c>
      <c r="B151" s="40" t="s">
        <v>217</v>
      </c>
      <c r="C151" s="40" t="s">
        <v>269</v>
      </c>
      <c r="D151" s="41" t="s">
        <v>270</v>
      </c>
      <c r="E151" s="106" t="s">
        <v>187</v>
      </c>
      <c r="F151" s="42">
        <f t="shared" si="18"/>
        <v>25</v>
      </c>
      <c r="G151" s="43">
        <f t="shared" si="19"/>
        <v>96.51</v>
      </c>
      <c r="H151" s="42">
        <f t="shared" si="20"/>
        <v>123.17</v>
      </c>
      <c r="I151" s="42">
        <f t="shared" si="21"/>
        <v>3079.25</v>
      </c>
      <c r="J151"/>
      <c r="K151" s="51">
        <v>25</v>
      </c>
      <c r="L151" s="51">
        <v>96.51</v>
      </c>
      <c r="M151" s="60"/>
      <c r="N151" s="60"/>
      <c r="O151" s="47"/>
      <c r="P151" s="47"/>
      <c r="Q151" s="47"/>
      <c r="R151" s="48"/>
      <c r="S151" s="49"/>
      <c r="T151" s="70"/>
    </row>
    <row r="152" spans="1:20" s="50" customFormat="1" ht="22.5">
      <c r="A152" s="42" t="s">
        <v>271</v>
      </c>
      <c r="B152" s="40">
        <v>97599</v>
      </c>
      <c r="C152" s="40" t="s">
        <v>19</v>
      </c>
      <c r="D152" s="41" t="s">
        <v>272</v>
      </c>
      <c r="E152" s="106" t="s">
        <v>32</v>
      </c>
      <c r="F152" s="42">
        <f t="shared" si="18"/>
        <v>4</v>
      </c>
      <c r="G152" s="43">
        <f t="shared" si="19"/>
        <v>23.18</v>
      </c>
      <c r="H152" s="42">
        <f t="shared" si="20"/>
        <v>29.58</v>
      </c>
      <c r="I152" s="42">
        <f t="shared" si="21"/>
        <v>118.32</v>
      </c>
      <c r="J152"/>
      <c r="K152" s="51">
        <v>4</v>
      </c>
      <c r="L152" s="51">
        <v>23.18</v>
      </c>
      <c r="M152" s="60"/>
      <c r="N152" s="60"/>
      <c r="O152" s="47"/>
      <c r="P152" s="47"/>
      <c r="Q152" s="47"/>
      <c r="R152" s="48"/>
      <c r="S152" s="49"/>
      <c r="T152" s="70"/>
    </row>
    <row r="153" spans="1:20" s="91" customFormat="1" ht="22.5">
      <c r="A153" s="42" t="s">
        <v>273</v>
      </c>
      <c r="B153" s="40">
        <v>103782</v>
      </c>
      <c r="C153" s="40" t="s">
        <v>19</v>
      </c>
      <c r="D153" s="41" t="s">
        <v>274</v>
      </c>
      <c r="E153" s="106" t="s">
        <v>32</v>
      </c>
      <c r="F153" s="42">
        <f t="shared" si="18"/>
        <v>3</v>
      </c>
      <c r="G153" s="43">
        <f t="shared" si="19"/>
        <v>30.66</v>
      </c>
      <c r="H153" s="42">
        <f t="shared" si="20"/>
        <v>39.130000000000003</v>
      </c>
      <c r="I153" s="42">
        <f t="shared" si="21"/>
        <v>117.39</v>
      </c>
      <c r="J153"/>
      <c r="K153" s="52">
        <v>3</v>
      </c>
      <c r="L153" s="52">
        <v>30.66</v>
      </c>
      <c r="M153" s="8"/>
      <c r="N153" s="8"/>
      <c r="O153" s="87"/>
      <c r="P153" s="87"/>
      <c r="Q153" s="87"/>
      <c r="R153" s="88"/>
      <c r="S153" s="89"/>
      <c r="T153" s="90"/>
    </row>
    <row r="154" spans="1:20" s="50" customFormat="1" ht="22.5">
      <c r="A154" s="42" t="s">
        <v>275</v>
      </c>
      <c r="B154" s="40" t="s">
        <v>217</v>
      </c>
      <c r="C154" s="40" t="s">
        <v>276</v>
      </c>
      <c r="D154" s="41" t="s">
        <v>277</v>
      </c>
      <c r="E154" s="106" t="s">
        <v>32</v>
      </c>
      <c r="F154" s="42">
        <f t="shared" si="18"/>
        <v>4</v>
      </c>
      <c r="G154" s="43">
        <f t="shared" si="19"/>
        <v>113.55</v>
      </c>
      <c r="H154" s="42">
        <f t="shared" si="20"/>
        <v>144.91999999999999</v>
      </c>
      <c r="I154" s="42">
        <f t="shared" si="21"/>
        <v>579.67999999999995</v>
      </c>
      <c r="J154"/>
      <c r="K154" s="51">
        <v>4</v>
      </c>
      <c r="L154" s="51">
        <v>113.55</v>
      </c>
      <c r="M154" s="60"/>
      <c r="N154" s="60"/>
      <c r="O154" s="47"/>
      <c r="P154" s="47"/>
      <c r="Q154" s="47"/>
      <c r="R154" s="48"/>
      <c r="S154" s="49"/>
      <c r="T154" s="70"/>
    </row>
    <row r="155" spans="1:20" s="50" customFormat="1" ht="22.5">
      <c r="A155" s="42" t="s">
        <v>278</v>
      </c>
      <c r="B155" s="40" t="s">
        <v>217</v>
      </c>
      <c r="C155" s="40" t="s">
        <v>279</v>
      </c>
      <c r="D155" s="41" t="s">
        <v>280</v>
      </c>
      <c r="E155" s="106" t="s">
        <v>32</v>
      </c>
      <c r="F155" s="42">
        <f t="shared" si="18"/>
        <v>9</v>
      </c>
      <c r="G155" s="43">
        <f t="shared" si="19"/>
        <v>71.08</v>
      </c>
      <c r="H155" s="42">
        <f t="shared" si="20"/>
        <v>90.71</v>
      </c>
      <c r="I155" s="42">
        <f t="shared" si="21"/>
        <v>816.39</v>
      </c>
      <c r="J155"/>
      <c r="K155" s="51">
        <v>9</v>
      </c>
      <c r="L155" s="51">
        <v>71.08</v>
      </c>
      <c r="M155" s="60"/>
      <c r="N155" s="60"/>
      <c r="O155" s="47"/>
      <c r="P155" s="47"/>
      <c r="Q155" s="47"/>
      <c r="R155" s="48"/>
      <c r="S155" s="49"/>
      <c r="T155" s="70"/>
    </row>
    <row r="156" spans="1:20" s="50" customFormat="1" ht="22.5">
      <c r="A156" s="42" t="s">
        <v>281</v>
      </c>
      <c r="B156" s="40">
        <v>101894</v>
      </c>
      <c r="C156" s="40" t="s">
        <v>19</v>
      </c>
      <c r="D156" s="41" t="s">
        <v>282</v>
      </c>
      <c r="E156" s="106" t="s">
        <v>32</v>
      </c>
      <c r="F156" s="42">
        <f t="shared" si="18"/>
        <v>1</v>
      </c>
      <c r="G156" s="43">
        <f t="shared" si="19"/>
        <v>160</v>
      </c>
      <c r="H156" s="42">
        <f t="shared" si="20"/>
        <v>204.2</v>
      </c>
      <c r="I156" s="42">
        <f t="shared" si="21"/>
        <v>204.2</v>
      </c>
      <c r="J156"/>
      <c r="K156" s="51">
        <v>1</v>
      </c>
      <c r="L156" s="51">
        <v>160</v>
      </c>
      <c r="M156" s="60"/>
      <c r="N156" s="60"/>
      <c r="O156" s="47"/>
      <c r="P156" s="47"/>
      <c r="Q156" s="47"/>
      <c r="R156" s="48"/>
      <c r="S156" s="49"/>
      <c r="T156" s="70"/>
    </row>
    <row r="157" spans="1:20" s="50" customFormat="1" ht="22.5">
      <c r="A157" s="42" t="s">
        <v>283</v>
      </c>
      <c r="B157" s="40" t="s">
        <v>217</v>
      </c>
      <c r="C157" s="40" t="s">
        <v>284</v>
      </c>
      <c r="D157" s="41" t="s">
        <v>285</v>
      </c>
      <c r="E157" s="106" t="s">
        <v>32</v>
      </c>
      <c r="F157" s="42">
        <f t="shared" si="18"/>
        <v>2</v>
      </c>
      <c r="G157" s="43">
        <f t="shared" si="19"/>
        <v>113.11</v>
      </c>
      <c r="H157" s="42">
        <f t="shared" si="20"/>
        <v>144.36000000000001</v>
      </c>
      <c r="I157" s="42">
        <f t="shared" si="21"/>
        <v>288.72000000000003</v>
      </c>
      <c r="J157"/>
      <c r="K157" s="51">
        <v>2</v>
      </c>
      <c r="L157" s="51">
        <v>113.11</v>
      </c>
      <c r="M157" s="60"/>
      <c r="N157" s="60"/>
      <c r="O157" s="47"/>
      <c r="P157" s="47"/>
      <c r="Q157" s="47"/>
      <c r="R157" s="48"/>
      <c r="S157" s="49"/>
      <c r="T157" s="70"/>
    </row>
    <row r="158" spans="1:20" s="50" customFormat="1" ht="22.5">
      <c r="A158" s="42" t="s">
        <v>286</v>
      </c>
      <c r="B158" s="40">
        <v>93673</v>
      </c>
      <c r="C158" s="40" t="s">
        <v>19</v>
      </c>
      <c r="D158" s="41" t="s">
        <v>287</v>
      </c>
      <c r="E158" s="106"/>
      <c r="F158" s="42">
        <f t="shared" si="18"/>
        <v>2</v>
      </c>
      <c r="G158" s="43">
        <f t="shared" si="19"/>
        <v>97.34</v>
      </c>
      <c r="H158" s="42">
        <f t="shared" si="20"/>
        <v>124.23</v>
      </c>
      <c r="I158" s="42">
        <f t="shared" si="21"/>
        <v>248.46</v>
      </c>
      <c r="J158"/>
      <c r="K158" s="51">
        <v>2</v>
      </c>
      <c r="L158" s="51">
        <v>97.34</v>
      </c>
      <c r="M158" s="60"/>
      <c r="N158" s="60"/>
      <c r="O158" s="47"/>
      <c r="P158" s="47"/>
      <c r="Q158" s="47"/>
      <c r="R158" s="48"/>
      <c r="S158" s="49"/>
      <c r="T158" s="70"/>
    </row>
    <row r="159" spans="1:20" s="50" customFormat="1" ht="22.5">
      <c r="A159" s="42" t="s">
        <v>288</v>
      </c>
      <c r="B159" s="40">
        <v>93653</v>
      </c>
      <c r="C159" s="40" t="s">
        <v>19</v>
      </c>
      <c r="D159" s="41" t="s">
        <v>289</v>
      </c>
      <c r="E159" s="106" t="s">
        <v>32</v>
      </c>
      <c r="F159" s="42">
        <f t="shared" ref="F159:F190" si="22">TRUNC(K159,2)</f>
        <v>6</v>
      </c>
      <c r="G159" s="43">
        <f t="shared" ref="G159:G190" si="23">L159</f>
        <v>12.25</v>
      </c>
      <c r="H159" s="42">
        <f t="shared" ref="H159:H190" si="24">TRUNC(L159*L$12,2)</f>
        <v>15.63</v>
      </c>
      <c r="I159" s="42">
        <f t="shared" ref="I159:I190" si="25">TRUNC(F159*H159,2)</f>
        <v>93.78</v>
      </c>
      <c r="J159"/>
      <c r="K159" s="51">
        <v>6</v>
      </c>
      <c r="L159" s="51">
        <v>12.25</v>
      </c>
      <c r="M159" s="60"/>
      <c r="N159" s="60"/>
      <c r="O159" s="47"/>
      <c r="P159" s="47"/>
      <c r="Q159" s="47"/>
      <c r="R159" s="48"/>
      <c r="S159" s="49"/>
      <c r="T159" s="70"/>
    </row>
    <row r="160" spans="1:20" s="50" customFormat="1" ht="22.5">
      <c r="A160" s="42" t="s">
        <v>290</v>
      </c>
      <c r="B160" s="40">
        <v>93654</v>
      </c>
      <c r="C160" s="40" t="s">
        <v>19</v>
      </c>
      <c r="D160" s="41" t="s">
        <v>291</v>
      </c>
      <c r="E160" s="106" t="s">
        <v>32</v>
      </c>
      <c r="F160" s="42">
        <f t="shared" si="22"/>
        <v>7</v>
      </c>
      <c r="G160" s="43">
        <f t="shared" si="23"/>
        <v>12.73</v>
      </c>
      <c r="H160" s="42">
        <f t="shared" si="24"/>
        <v>16.239999999999998</v>
      </c>
      <c r="I160" s="42">
        <f t="shared" si="25"/>
        <v>113.68</v>
      </c>
      <c r="J160"/>
      <c r="K160" s="51">
        <v>7</v>
      </c>
      <c r="L160" s="51">
        <v>12.73</v>
      </c>
      <c r="M160" s="60"/>
      <c r="N160" s="60"/>
      <c r="O160" s="47"/>
      <c r="P160" s="47"/>
      <c r="Q160" s="47"/>
      <c r="R160" s="48"/>
      <c r="S160" s="49"/>
      <c r="T160" s="70"/>
    </row>
    <row r="161" spans="1:20" s="50" customFormat="1" ht="22.5">
      <c r="A161" s="42" t="s">
        <v>292</v>
      </c>
      <c r="B161" s="40">
        <v>93655</v>
      </c>
      <c r="C161" s="40" t="s">
        <v>19</v>
      </c>
      <c r="D161" s="41" t="s">
        <v>293</v>
      </c>
      <c r="E161" s="106" t="s">
        <v>32</v>
      </c>
      <c r="F161" s="42">
        <f t="shared" si="22"/>
        <v>3</v>
      </c>
      <c r="G161" s="43">
        <f t="shared" si="23"/>
        <v>13.71</v>
      </c>
      <c r="H161" s="42">
        <f t="shared" si="24"/>
        <v>17.489999999999998</v>
      </c>
      <c r="I161" s="42">
        <f t="shared" si="25"/>
        <v>52.47</v>
      </c>
      <c r="J161"/>
      <c r="K161" s="51">
        <v>3</v>
      </c>
      <c r="L161" s="51">
        <v>13.71</v>
      </c>
      <c r="M161" s="60"/>
      <c r="N161" s="60"/>
      <c r="O161" s="47"/>
      <c r="P161" s="47"/>
      <c r="Q161" s="47"/>
      <c r="R161" s="48"/>
      <c r="S161" s="49"/>
      <c r="T161" s="70"/>
    </row>
    <row r="162" spans="1:20" s="50" customFormat="1" ht="22.5">
      <c r="A162" s="42" t="s">
        <v>294</v>
      </c>
      <c r="B162" s="40">
        <v>93661</v>
      </c>
      <c r="C162" s="40" t="s">
        <v>19</v>
      </c>
      <c r="D162" s="41" t="s">
        <v>295</v>
      </c>
      <c r="E162" s="106" t="s">
        <v>32</v>
      </c>
      <c r="F162" s="42">
        <f t="shared" si="22"/>
        <v>2</v>
      </c>
      <c r="G162" s="43">
        <f t="shared" si="23"/>
        <v>62.9</v>
      </c>
      <c r="H162" s="42">
        <f t="shared" si="24"/>
        <v>80.27</v>
      </c>
      <c r="I162" s="42">
        <f t="shared" si="25"/>
        <v>160.54</v>
      </c>
      <c r="J162"/>
      <c r="K162" s="51">
        <v>2</v>
      </c>
      <c r="L162" s="51">
        <v>62.9</v>
      </c>
      <c r="M162" s="60"/>
      <c r="N162" s="60"/>
      <c r="O162" s="47"/>
      <c r="P162" s="47"/>
      <c r="Q162" s="47"/>
      <c r="R162" s="48"/>
      <c r="S162" s="49"/>
      <c r="T162" s="70"/>
    </row>
    <row r="163" spans="1:20" s="50" customFormat="1" ht="22.5">
      <c r="A163" s="42" t="s">
        <v>296</v>
      </c>
      <c r="B163" s="40">
        <v>93662</v>
      </c>
      <c r="C163" s="40" t="s">
        <v>19</v>
      </c>
      <c r="D163" s="41" t="s">
        <v>297</v>
      </c>
      <c r="E163" s="106" t="s">
        <v>32</v>
      </c>
      <c r="F163" s="42">
        <f t="shared" si="22"/>
        <v>3</v>
      </c>
      <c r="G163" s="43">
        <f t="shared" si="23"/>
        <v>64.849999999999994</v>
      </c>
      <c r="H163" s="42">
        <f t="shared" si="24"/>
        <v>82.76</v>
      </c>
      <c r="I163" s="42">
        <f t="shared" si="25"/>
        <v>248.28</v>
      </c>
      <c r="J163"/>
      <c r="K163" s="51">
        <v>3</v>
      </c>
      <c r="L163" s="51">
        <v>64.849999999999994</v>
      </c>
      <c r="M163" s="60"/>
      <c r="N163" s="60"/>
      <c r="O163" s="47"/>
      <c r="P163" s="47"/>
      <c r="Q163" s="47"/>
      <c r="R163" s="48"/>
      <c r="S163" s="49"/>
      <c r="T163" s="70"/>
    </row>
    <row r="164" spans="1:20" s="50" customFormat="1" ht="22.5">
      <c r="A164" s="42" t="s">
        <v>298</v>
      </c>
      <c r="B164" s="40">
        <v>93663</v>
      </c>
      <c r="C164" s="40" t="s">
        <v>19</v>
      </c>
      <c r="D164" s="41" t="s">
        <v>299</v>
      </c>
      <c r="E164" s="106" t="s">
        <v>32</v>
      </c>
      <c r="F164" s="42">
        <f t="shared" si="22"/>
        <v>1</v>
      </c>
      <c r="G164" s="43">
        <f t="shared" si="23"/>
        <v>64.849999999999994</v>
      </c>
      <c r="H164" s="42">
        <f t="shared" si="24"/>
        <v>82.76</v>
      </c>
      <c r="I164" s="42">
        <f t="shared" si="25"/>
        <v>82.76</v>
      </c>
      <c r="J164"/>
      <c r="K164" s="51">
        <v>1</v>
      </c>
      <c r="L164" s="51">
        <v>64.849999999999994</v>
      </c>
      <c r="M164" s="60"/>
      <c r="N164" s="60"/>
      <c r="O164" s="47"/>
      <c r="P164" s="47"/>
      <c r="Q164" s="47"/>
      <c r="R164" s="48"/>
      <c r="S164" s="49"/>
      <c r="T164" s="70"/>
    </row>
    <row r="165" spans="1:20" s="50" customFormat="1" ht="22.5">
      <c r="A165" s="42" t="s">
        <v>300</v>
      </c>
      <c r="B165" s="40">
        <v>93664</v>
      </c>
      <c r="C165" s="40" t="s">
        <v>19</v>
      </c>
      <c r="D165" s="41" t="s">
        <v>301</v>
      </c>
      <c r="E165" s="106" t="s">
        <v>32</v>
      </c>
      <c r="F165" s="42">
        <f t="shared" si="22"/>
        <v>1</v>
      </c>
      <c r="G165" s="43">
        <f t="shared" si="23"/>
        <v>67.180000000000007</v>
      </c>
      <c r="H165" s="42">
        <f t="shared" si="24"/>
        <v>85.74</v>
      </c>
      <c r="I165" s="42">
        <f t="shared" si="25"/>
        <v>85.74</v>
      </c>
      <c r="J165"/>
      <c r="K165" s="51">
        <v>1</v>
      </c>
      <c r="L165" s="51">
        <v>67.180000000000007</v>
      </c>
      <c r="M165" s="60"/>
      <c r="N165" s="60"/>
      <c r="O165" s="47"/>
      <c r="P165" s="47"/>
      <c r="Q165" s="47"/>
      <c r="R165" s="48"/>
      <c r="S165" s="49"/>
      <c r="T165" s="70"/>
    </row>
    <row r="166" spans="1:20" s="50" customFormat="1" ht="22.5">
      <c r="A166" s="42" t="s">
        <v>302</v>
      </c>
      <c r="B166" s="40" t="s">
        <v>217</v>
      </c>
      <c r="C166" s="40" t="s">
        <v>303</v>
      </c>
      <c r="D166" s="41" t="s">
        <v>304</v>
      </c>
      <c r="E166" s="106" t="s">
        <v>32</v>
      </c>
      <c r="F166" s="42">
        <f t="shared" si="22"/>
        <v>1</v>
      </c>
      <c r="G166" s="43">
        <f t="shared" si="23"/>
        <v>182.89</v>
      </c>
      <c r="H166" s="42">
        <f t="shared" si="24"/>
        <v>233.42</v>
      </c>
      <c r="I166" s="42">
        <f t="shared" si="25"/>
        <v>233.42</v>
      </c>
      <c r="J166"/>
      <c r="K166" s="51">
        <v>1</v>
      </c>
      <c r="L166" s="51">
        <v>182.89</v>
      </c>
      <c r="M166" s="60"/>
      <c r="N166" s="60"/>
      <c r="O166" s="47"/>
      <c r="P166" s="47"/>
      <c r="Q166" s="47"/>
      <c r="R166" s="48"/>
      <c r="S166" s="49"/>
      <c r="T166" s="70"/>
    </row>
    <row r="167" spans="1:20" s="50" customFormat="1" ht="33.75">
      <c r="A167" s="42" t="s">
        <v>305</v>
      </c>
      <c r="B167" s="40" t="s">
        <v>217</v>
      </c>
      <c r="C167" s="40" t="s">
        <v>306</v>
      </c>
      <c r="D167" s="41" t="s">
        <v>307</v>
      </c>
      <c r="E167" s="106" t="s">
        <v>32</v>
      </c>
      <c r="F167" s="42">
        <f t="shared" si="22"/>
        <v>8</v>
      </c>
      <c r="G167" s="43">
        <f t="shared" si="23"/>
        <v>116.8</v>
      </c>
      <c r="H167" s="42">
        <f t="shared" si="24"/>
        <v>149.07</v>
      </c>
      <c r="I167" s="42">
        <f t="shared" si="25"/>
        <v>1192.56</v>
      </c>
      <c r="J167"/>
      <c r="K167" s="51">
        <v>8</v>
      </c>
      <c r="L167" s="51">
        <v>116.8</v>
      </c>
      <c r="M167" s="60"/>
      <c r="N167" s="60"/>
      <c r="O167" s="47"/>
      <c r="P167" s="47"/>
      <c r="Q167" s="47"/>
      <c r="R167" s="48"/>
      <c r="S167" s="49"/>
      <c r="T167" s="70"/>
    </row>
    <row r="168" spans="1:20" s="50" customFormat="1" ht="22.5">
      <c r="A168" s="42" t="s">
        <v>308</v>
      </c>
      <c r="B168" s="40">
        <v>96985</v>
      </c>
      <c r="C168" s="40" t="s">
        <v>19</v>
      </c>
      <c r="D168" s="41" t="s">
        <v>309</v>
      </c>
      <c r="E168" s="106" t="s">
        <v>32</v>
      </c>
      <c r="F168" s="42">
        <f t="shared" si="22"/>
        <v>6</v>
      </c>
      <c r="G168" s="43">
        <f t="shared" si="23"/>
        <v>78.459999999999994</v>
      </c>
      <c r="H168" s="42">
        <f t="shared" si="24"/>
        <v>100.13</v>
      </c>
      <c r="I168" s="42">
        <f t="shared" si="25"/>
        <v>600.78</v>
      </c>
      <c r="J168"/>
      <c r="K168" s="51">
        <v>6</v>
      </c>
      <c r="L168" s="51">
        <v>78.459999999999994</v>
      </c>
      <c r="M168" s="60"/>
      <c r="N168" s="60"/>
      <c r="O168" s="47"/>
      <c r="P168" s="47"/>
      <c r="Q168" s="47"/>
      <c r="R168" s="48"/>
      <c r="S168" s="49"/>
      <c r="T168" s="70"/>
    </row>
    <row r="169" spans="1:20" s="50" customFormat="1" ht="22.5">
      <c r="A169" s="42" t="s">
        <v>310</v>
      </c>
      <c r="B169" s="40" t="s">
        <v>217</v>
      </c>
      <c r="C169" s="40" t="s">
        <v>311</v>
      </c>
      <c r="D169" s="41" t="s">
        <v>312</v>
      </c>
      <c r="E169" s="106" t="s">
        <v>32</v>
      </c>
      <c r="F169" s="42">
        <f t="shared" si="22"/>
        <v>6</v>
      </c>
      <c r="G169" s="43">
        <f t="shared" si="23"/>
        <v>20.43</v>
      </c>
      <c r="H169" s="42">
        <f t="shared" si="24"/>
        <v>26.07</v>
      </c>
      <c r="I169" s="42">
        <f t="shared" si="25"/>
        <v>156.41999999999999</v>
      </c>
      <c r="J169"/>
      <c r="K169" s="51">
        <v>6</v>
      </c>
      <c r="L169" s="51">
        <v>20.43</v>
      </c>
      <c r="M169" s="60"/>
      <c r="N169" s="60"/>
      <c r="O169" s="47"/>
      <c r="P169" s="47"/>
      <c r="Q169" s="47"/>
      <c r="R169" s="48"/>
      <c r="S169" s="49"/>
      <c r="T169" s="70"/>
    </row>
    <row r="170" spans="1:20" s="50" customFormat="1" ht="33.75">
      <c r="A170" s="42" t="s">
        <v>313</v>
      </c>
      <c r="B170" s="40" t="s">
        <v>217</v>
      </c>
      <c r="C170" s="40" t="s">
        <v>314</v>
      </c>
      <c r="D170" s="41" t="s">
        <v>315</v>
      </c>
      <c r="E170" s="106" t="s">
        <v>32</v>
      </c>
      <c r="F170" s="42">
        <f t="shared" si="22"/>
        <v>9</v>
      </c>
      <c r="G170" s="43">
        <f t="shared" si="23"/>
        <v>5.8339999999999996</v>
      </c>
      <c r="H170" s="42">
        <f t="shared" si="24"/>
        <v>7.44</v>
      </c>
      <c r="I170" s="42">
        <f t="shared" si="25"/>
        <v>66.959999999999994</v>
      </c>
      <c r="J170"/>
      <c r="K170" s="51">
        <v>9</v>
      </c>
      <c r="L170" s="51">
        <v>5.8339999999999996</v>
      </c>
      <c r="M170" s="60"/>
      <c r="N170" s="60"/>
      <c r="O170" s="47"/>
      <c r="P170" s="47"/>
      <c r="Q170" s="47"/>
      <c r="R170" s="48"/>
      <c r="S170" s="49"/>
      <c r="T170" s="70"/>
    </row>
    <row r="171" spans="1:20" s="50" customFormat="1" ht="33.75">
      <c r="A171" s="42" t="s">
        <v>316</v>
      </c>
      <c r="B171" s="40" t="s">
        <v>217</v>
      </c>
      <c r="C171" s="40" t="s">
        <v>317</v>
      </c>
      <c r="D171" s="41" t="s">
        <v>318</v>
      </c>
      <c r="E171" s="106" t="s">
        <v>32</v>
      </c>
      <c r="F171" s="42">
        <f t="shared" si="22"/>
        <v>8</v>
      </c>
      <c r="G171" s="43">
        <f t="shared" si="23"/>
        <v>4.83</v>
      </c>
      <c r="H171" s="42">
        <f t="shared" si="24"/>
        <v>6.16</v>
      </c>
      <c r="I171" s="42">
        <f t="shared" si="25"/>
        <v>49.28</v>
      </c>
      <c r="J171"/>
      <c r="K171" s="51">
        <v>8</v>
      </c>
      <c r="L171" s="51">
        <v>4.83</v>
      </c>
      <c r="M171" s="60"/>
      <c r="N171" s="60"/>
      <c r="O171" s="47"/>
      <c r="P171" s="47"/>
      <c r="Q171" s="47"/>
      <c r="R171" s="48"/>
      <c r="S171" s="49"/>
      <c r="T171" s="70"/>
    </row>
    <row r="172" spans="1:20" s="50" customFormat="1" ht="33.75">
      <c r="A172" s="42" t="s">
        <v>319</v>
      </c>
      <c r="B172" s="40" t="s">
        <v>217</v>
      </c>
      <c r="C172" s="40" t="s">
        <v>320</v>
      </c>
      <c r="D172" s="41" t="s">
        <v>321</v>
      </c>
      <c r="E172" s="106" t="s">
        <v>32</v>
      </c>
      <c r="F172" s="42">
        <f t="shared" si="22"/>
        <v>35</v>
      </c>
      <c r="G172" s="43">
        <f t="shared" si="23"/>
        <v>4.21</v>
      </c>
      <c r="H172" s="42">
        <f t="shared" si="24"/>
        <v>5.37</v>
      </c>
      <c r="I172" s="42">
        <f t="shared" si="25"/>
        <v>187.95</v>
      </c>
      <c r="J172"/>
      <c r="K172" s="51">
        <v>35</v>
      </c>
      <c r="L172" s="51">
        <v>4.21</v>
      </c>
      <c r="M172" s="60"/>
      <c r="N172" s="60"/>
      <c r="O172" s="47"/>
      <c r="P172" s="47"/>
      <c r="Q172" s="47"/>
      <c r="R172" s="48"/>
      <c r="S172" s="49"/>
      <c r="T172" s="70"/>
    </row>
    <row r="173" spans="1:20" s="50" customFormat="1" ht="33.75">
      <c r="A173" s="42" t="s">
        <v>322</v>
      </c>
      <c r="B173" s="40">
        <v>97883</v>
      </c>
      <c r="C173" s="40" t="s">
        <v>19</v>
      </c>
      <c r="D173" s="41" t="s">
        <v>323</v>
      </c>
      <c r="E173" s="106" t="s">
        <v>32</v>
      </c>
      <c r="F173" s="42">
        <f t="shared" si="22"/>
        <v>4</v>
      </c>
      <c r="G173" s="43">
        <f t="shared" si="23"/>
        <v>388.52</v>
      </c>
      <c r="H173" s="42">
        <f t="shared" si="24"/>
        <v>495.86</v>
      </c>
      <c r="I173" s="42">
        <f t="shared" si="25"/>
        <v>1983.44</v>
      </c>
      <c r="J173"/>
      <c r="K173" s="51">
        <v>4</v>
      </c>
      <c r="L173" s="51">
        <v>388.52</v>
      </c>
      <c r="M173" s="60"/>
      <c r="N173" s="60"/>
      <c r="O173" s="47"/>
      <c r="P173" s="47"/>
      <c r="Q173" s="47"/>
      <c r="R173" s="48"/>
      <c r="S173" s="49"/>
      <c r="T173" s="70"/>
    </row>
    <row r="174" spans="1:20" s="50" customFormat="1" ht="33.75">
      <c r="A174" s="42" t="s">
        <v>324</v>
      </c>
      <c r="B174" s="40">
        <v>101881</v>
      </c>
      <c r="C174" s="40" t="s">
        <v>19</v>
      </c>
      <c r="D174" s="41" t="s">
        <v>325</v>
      </c>
      <c r="E174" s="106" t="s">
        <v>32</v>
      </c>
      <c r="F174" s="42">
        <f t="shared" si="22"/>
        <v>1</v>
      </c>
      <c r="G174" s="43">
        <f t="shared" si="23"/>
        <v>1384.37</v>
      </c>
      <c r="H174" s="42">
        <f t="shared" si="24"/>
        <v>1766.87</v>
      </c>
      <c r="I174" s="42">
        <f t="shared" si="25"/>
        <v>1766.87</v>
      </c>
      <c r="J174"/>
      <c r="K174" s="51">
        <v>1</v>
      </c>
      <c r="L174" s="51">
        <v>1384.37</v>
      </c>
      <c r="M174" s="60"/>
      <c r="N174" s="60"/>
      <c r="O174" s="47"/>
      <c r="P174" s="47"/>
      <c r="Q174" s="47"/>
      <c r="R174" s="48"/>
      <c r="S174" s="49"/>
      <c r="T174" s="70"/>
    </row>
    <row r="175" spans="1:20" s="50" customFormat="1" ht="33.75">
      <c r="A175" s="42" t="s">
        <v>326</v>
      </c>
      <c r="B175" s="40">
        <v>101880</v>
      </c>
      <c r="C175" s="40" t="s">
        <v>19</v>
      </c>
      <c r="D175" s="41" t="s">
        <v>327</v>
      </c>
      <c r="E175" s="106" t="s">
        <v>32</v>
      </c>
      <c r="F175" s="42">
        <f t="shared" si="22"/>
        <v>2</v>
      </c>
      <c r="G175" s="43">
        <f t="shared" si="23"/>
        <v>955.12</v>
      </c>
      <c r="H175" s="42">
        <f t="shared" si="24"/>
        <v>1219.01</v>
      </c>
      <c r="I175" s="42">
        <f t="shared" si="25"/>
        <v>2438.02</v>
      </c>
      <c r="J175"/>
      <c r="K175" s="51">
        <v>2</v>
      </c>
      <c r="L175" s="51">
        <v>955.12</v>
      </c>
      <c r="M175" s="60"/>
      <c r="N175" s="60"/>
      <c r="O175" s="47"/>
      <c r="P175" s="47"/>
      <c r="Q175" s="47"/>
      <c r="R175" s="48"/>
      <c r="S175" s="49"/>
      <c r="T175" s="70"/>
    </row>
    <row r="176" spans="1:20" s="50" customFormat="1" ht="33.75">
      <c r="A176" s="42" t="s">
        <v>328</v>
      </c>
      <c r="B176" s="40">
        <v>101879</v>
      </c>
      <c r="C176" s="40" t="s">
        <v>19</v>
      </c>
      <c r="D176" s="41" t="s">
        <v>329</v>
      </c>
      <c r="E176" s="106" t="s">
        <v>32</v>
      </c>
      <c r="F176" s="42">
        <f t="shared" si="22"/>
        <v>1</v>
      </c>
      <c r="G176" s="43">
        <f t="shared" si="23"/>
        <v>830.64</v>
      </c>
      <c r="H176" s="42">
        <f t="shared" si="24"/>
        <v>1060.1400000000001</v>
      </c>
      <c r="I176" s="42">
        <f t="shared" si="25"/>
        <v>1060.1400000000001</v>
      </c>
      <c r="J176"/>
      <c r="K176" s="51">
        <v>1</v>
      </c>
      <c r="L176" s="51">
        <v>830.64</v>
      </c>
      <c r="M176" s="92"/>
      <c r="N176" s="92"/>
      <c r="O176" s="47"/>
      <c r="P176" s="47"/>
      <c r="Q176" s="47"/>
      <c r="R176" s="48"/>
      <c r="S176" s="49"/>
      <c r="T176" s="70"/>
    </row>
    <row r="177" spans="1:20" s="50" customFormat="1" ht="22.5">
      <c r="A177" s="42" t="s">
        <v>330</v>
      </c>
      <c r="B177" s="40">
        <v>91941</v>
      </c>
      <c r="C177" s="40" t="s">
        <v>19</v>
      </c>
      <c r="D177" s="41" t="s">
        <v>331</v>
      </c>
      <c r="E177" s="106" t="s">
        <v>32</v>
      </c>
      <c r="F177" s="42">
        <f t="shared" si="22"/>
        <v>24</v>
      </c>
      <c r="G177" s="43">
        <f t="shared" si="23"/>
        <v>8.2799999999999994</v>
      </c>
      <c r="H177" s="42">
        <f t="shared" si="24"/>
        <v>10.56</v>
      </c>
      <c r="I177" s="42">
        <f t="shared" si="25"/>
        <v>253.44</v>
      </c>
      <c r="J177"/>
      <c r="K177" s="51">
        <v>24</v>
      </c>
      <c r="L177" s="51">
        <v>8.2799999999999994</v>
      </c>
      <c r="M177" s="92"/>
      <c r="N177" s="92"/>
      <c r="O177" s="47"/>
      <c r="P177" s="47"/>
      <c r="Q177" s="47"/>
      <c r="R177" s="48"/>
      <c r="S177" s="49"/>
      <c r="T177" s="70"/>
    </row>
    <row r="178" spans="1:20" s="50" customFormat="1" ht="22.5">
      <c r="A178" s="42" t="s">
        <v>332</v>
      </c>
      <c r="B178" s="40">
        <v>91940</v>
      </c>
      <c r="C178" s="40" t="s">
        <v>19</v>
      </c>
      <c r="D178" s="41" t="s">
        <v>333</v>
      </c>
      <c r="E178" s="106" t="s">
        <v>32</v>
      </c>
      <c r="F178" s="42">
        <f t="shared" si="22"/>
        <v>23</v>
      </c>
      <c r="G178" s="43">
        <f t="shared" si="23"/>
        <v>12.15</v>
      </c>
      <c r="H178" s="42">
        <f t="shared" si="24"/>
        <v>15.5</v>
      </c>
      <c r="I178" s="42">
        <f t="shared" si="25"/>
        <v>356.5</v>
      </c>
      <c r="J178"/>
      <c r="K178" s="51">
        <v>23</v>
      </c>
      <c r="L178" s="51">
        <v>12.15</v>
      </c>
      <c r="M178" s="92"/>
      <c r="N178" s="92"/>
      <c r="O178" s="47"/>
      <c r="P178" s="47"/>
      <c r="Q178" s="47"/>
      <c r="R178" s="48"/>
      <c r="S178" s="49"/>
      <c r="T178" s="70"/>
    </row>
    <row r="179" spans="1:20" s="111" customFormat="1" ht="22.5">
      <c r="A179" s="42" t="s">
        <v>334</v>
      </c>
      <c r="B179" s="40">
        <v>91939</v>
      </c>
      <c r="C179" s="40" t="s">
        <v>19</v>
      </c>
      <c r="D179" s="41" t="s">
        <v>335</v>
      </c>
      <c r="E179" s="106" t="s">
        <v>32</v>
      </c>
      <c r="F179" s="42">
        <f t="shared" si="22"/>
        <v>6</v>
      </c>
      <c r="G179" s="43">
        <f t="shared" si="23"/>
        <v>22.47</v>
      </c>
      <c r="H179" s="42">
        <f t="shared" si="24"/>
        <v>28.67</v>
      </c>
      <c r="I179" s="42">
        <f t="shared" si="25"/>
        <v>172.02</v>
      </c>
      <c r="J179"/>
      <c r="K179" s="51">
        <v>6</v>
      </c>
      <c r="L179" s="51">
        <v>22.47</v>
      </c>
      <c r="M179" s="92"/>
      <c r="N179" s="92"/>
      <c r="O179" s="107"/>
      <c r="P179" s="107"/>
      <c r="Q179" s="108"/>
      <c r="R179" s="109"/>
      <c r="S179" s="110"/>
      <c r="T179" s="108"/>
    </row>
    <row r="180" spans="1:20" s="50" customFormat="1" ht="22.5">
      <c r="A180" s="42" t="s">
        <v>336</v>
      </c>
      <c r="B180" s="40">
        <v>91944</v>
      </c>
      <c r="C180" s="40" t="s">
        <v>19</v>
      </c>
      <c r="D180" s="41" t="s">
        <v>337</v>
      </c>
      <c r="E180" s="106" t="s">
        <v>32</v>
      </c>
      <c r="F180" s="42">
        <f t="shared" si="22"/>
        <v>2</v>
      </c>
      <c r="G180" s="43">
        <f t="shared" si="23"/>
        <v>11.44</v>
      </c>
      <c r="H180" s="42">
        <f t="shared" si="24"/>
        <v>14.6</v>
      </c>
      <c r="I180" s="42">
        <f t="shared" si="25"/>
        <v>29.2</v>
      </c>
      <c r="J180"/>
      <c r="K180" s="51">
        <v>2</v>
      </c>
      <c r="L180" s="51">
        <v>11.44</v>
      </c>
      <c r="M180" s="92"/>
      <c r="N180" s="92"/>
      <c r="O180" s="47"/>
      <c r="P180" s="47"/>
      <c r="Q180" s="47"/>
      <c r="R180" s="48"/>
      <c r="S180" s="49"/>
      <c r="T180" s="70"/>
    </row>
    <row r="181" spans="1:20" s="50" customFormat="1" ht="22.5">
      <c r="A181" s="42" t="s">
        <v>338</v>
      </c>
      <c r="B181" s="40">
        <v>91936</v>
      </c>
      <c r="C181" s="40" t="s">
        <v>19</v>
      </c>
      <c r="D181" s="41" t="s">
        <v>339</v>
      </c>
      <c r="E181" s="106" t="s">
        <v>340</v>
      </c>
      <c r="F181" s="42">
        <f t="shared" si="22"/>
        <v>30</v>
      </c>
      <c r="G181" s="43">
        <f t="shared" si="23"/>
        <v>11.04</v>
      </c>
      <c r="H181" s="42">
        <f t="shared" si="24"/>
        <v>14.09</v>
      </c>
      <c r="I181" s="42">
        <f t="shared" si="25"/>
        <v>422.7</v>
      </c>
      <c r="J181"/>
      <c r="K181" s="51">
        <v>30</v>
      </c>
      <c r="L181" s="51">
        <v>11.04</v>
      </c>
      <c r="M181" s="92"/>
      <c r="N181" s="92"/>
      <c r="O181" s="47"/>
      <c r="P181" s="47"/>
      <c r="Q181" s="47"/>
      <c r="R181" s="48"/>
      <c r="S181" s="49"/>
      <c r="T181" s="70"/>
    </row>
    <row r="182" spans="1:20" s="50" customFormat="1" ht="22.5">
      <c r="A182" s="42" t="s">
        <v>341</v>
      </c>
      <c r="B182" s="40">
        <v>101632</v>
      </c>
      <c r="C182" s="40" t="s">
        <v>19</v>
      </c>
      <c r="D182" s="41" t="s">
        <v>342</v>
      </c>
      <c r="E182" s="106" t="s">
        <v>32</v>
      </c>
      <c r="F182" s="42">
        <f t="shared" si="22"/>
        <v>3</v>
      </c>
      <c r="G182" s="43">
        <f t="shared" si="23"/>
        <v>44.89</v>
      </c>
      <c r="H182" s="42">
        <f t="shared" si="24"/>
        <v>57.29</v>
      </c>
      <c r="I182" s="42">
        <f t="shared" si="25"/>
        <v>171.87</v>
      </c>
      <c r="J182"/>
      <c r="K182" s="51">
        <v>3</v>
      </c>
      <c r="L182" s="51">
        <v>44.89</v>
      </c>
      <c r="M182" s="60"/>
      <c r="N182" s="60"/>
      <c r="O182" s="47"/>
      <c r="P182" s="47"/>
      <c r="Q182" s="47"/>
      <c r="R182" s="48"/>
      <c r="S182" s="49"/>
      <c r="T182" s="70"/>
    </row>
    <row r="183" spans="1:20" s="50" customFormat="1" ht="22.5">
      <c r="A183" s="42" t="s">
        <v>343</v>
      </c>
      <c r="B183" s="40">
        <v>97660</v>
      </c>
      <c r="C183" s="40" t="s">
        <v>19</v>
      </c>
      <c r="D183" s="41" t="s">
        <v>344</v>
      </c>
      <c r="E183" s="106" t="s">
        <v>32</v>
      </c>
      <c r="F183" s="42">
        <f t="shared" si="22"/>
        <v>29</v>
      </c>
      <c r="G183" s="43">
        <f t="shared" si="23"/>
        <v>0.48</v>
      </c>
      <c r="H183" s="42">
        <f t="shared" si="24"/>
        <v>0.61</v>
      </c>
      <c r="I183" s="42">
        <f t="shared" si="25"/>
        <v>17.690000000000001</v>
      </c>
      <c r="J183"/>
      <c r="K183" s="51">
        <v>29</v>
      </c>
      <c r="L183" s="51">
        <v>0.48</v>
      </c>
      <c r="M183" s="60" t="s">
        <v>345</v>
      </c>
      <c r="N183" s="60"/>
      <c r="O183" s="47"/>
      <c r="P183" s="47"/>
      <c r="Q183" s="47"/>
      <c r="R183" s="48"/>
      <c r="S183" s="49"/>
      <c r="T183" s="70"/>
    </row>
    <row r="184" spans="1:20" s="50" customFormat="1" ht="22.5">
      <c r="A184" s="42" t="s">
        <v>346</v>
      </c>
      <c r="B184" s="40">
        <v>97661</v>
      </c>
      <c r="C184" s="40" t="s">
        <v>19</v>
      </c>
      <c r="D184" s="41" t="s">
        <v>347</v>
      </c>
      <c r="E184" s="106" t="s">
        <v>113</v>
      </c>
      <c r="F184" s="42">
        <f t="shared" si="22"/>
        <v>600</v>
      </c>
      <c r="G184" s="43">
        <f t="shared" si="23"/>
        <v>0.49</v>
      </c>
      <c r="H184" s="42">
        <f t="shared" si="24"/>
        <v>0.62</v>
      </c>
      <c r="I184" s="42">
        <f t="shared" si="25"/>
        <v>372</v>
      </c>
      <c r="J184"/>
      <c r="K184" s="51">
        <v>600</v>
      </c>
      <c r="L184" s="51">
        <v>0.49</v>
      </c>
      <c r="M184" s="60"/>
      <c r="N184" s="60"/>
      <c r="O184" s="47"/>
      <c r="P184" s="47"/>
      <c r="Q184" s="47"/>
      <c r="R184" s="48"/>
      <c r="S184" s="49"/>
      <c r="T184" s="70"/>
    </row>
    <row r="185" spans="1:20" s="50" customFormat="1" ht="22.5">
      <c r="A185" s="42" t="s">
        <v>348</v>
      </c>
      <c r="B185" s="40">
        <v>97665</v>
      </c>
      <c r="C185" s="40" t="s">
        <v>19</v>
      </c>
      <c r="D185" s="41" t="s">
        <v>349</v>
      </c>
      <c r="E185" s="106" t="s">
        <v>32</v>
      </c>
      <c r="F185" s="42">
        <f t="shared" si="22"/>
        <v>24</v>
      </c>
      <c r="G185" s="43">
        <f t="shared" si="23"/>
        <v>0.94</v>
      </c>
      <c r="H185" s="42">
        <f t="shared" si="24"/>
        <v>1.19</v>
      </c>
      <c r="I185" s="42">
        <f t="shared" si="25"/>
        <v>28.56</v>
      </c>
      <c r="J185"/>
      <c r="K185" s="51">
        <v>24</v>
      </c>
      <c r="L185" s="51">
        <v>0.94</v>
      </c>
      <c r="M185" s="60"/>
      <c r="N185" s="60"/>
      <c r="O185" s="47"/>
      <c r="P185" s="47"/>
      <c r="Q185" s="47"/>
      <c r="R185" s="48"/>
      <c r="S185" s="49"/>
      <c r="T185" s="70"/>
    </row>
    <row r="186" spans="1:20" s="50" customFormat="1" ht="33.75">
      <c r="A186" s="42" t="s">
        <v>350</v>
      </c>
      <c r="B186" s="40">
        <v>91835</v>
      </c>
      <c r="C186" s="40" t="s">
        <v>19</v>
      </c>
      <c r="D186" s="41" t="s">
        <v>351</v>
      </c>
      <c r="E186" s="106" t="s">
        <v>113</v>
      </c>
      <c r="F186" s="42">
        <f t="shared" si="22"/>
        <v>60</v>
      </c>
      <c r="G186" s="43">
        <f t="shared" si="23"/>
        <v>9.34</v>
      </c>
      <c r="H186" s="42">
        <f t="shared" si="24"/>
        <v>11.92</v>
      </c>
      <c r="I186" s="42">
        <f t="shared" si="25"/>
        <v>715.2</v>
      </c>
      <c r="J186"/>
      <c r="K186" s="51">
        <v>60</v>
      </c>
      <c r="L186" s="51">
        <v>9.34</v>
      </c>
      <c r="M186" s="60"/>
      <c r="N186" s="60"/>
      <c r="O186" s="47"/>
      <c r="P186" s="47"/>
      <c r="Q186" s="47"/>
      <c r="R186" s="48"/>
      <c r="S186" s="49"/>
      <c r="T186" s="70"/>
    </row>
    <row r="187" spans="1:20" s="50" customFormat="1" ht="33.75">
      <c r="A187" s="42" t="s">
        <v>352</v>
      </c>
      <c r="B187" s="40">
        <v>93141</v>
      </c>
      <c r="C187" s="40" t="s">
        <v>19</v>
      </c>
      <c r="D187" s="41" t="s">
        <v>353</v>
      </c>
      <c r="E187" s="106" t="s">
        <v>32</v>
      </c>
      <c r="F187" s="42">
        <f t="shared" si="22"/>
        <v>2</v>
      </c>
      <c r="G187" s="43">
        <f t="shared" si="23"/>
        <v>150.5</v>
      </c>
      <c r="H187" s="42">
        <f t="shared" si="24"/>
        <v>192.08</v>
      </c>
      <c r="I187" s="42">
        <f t="shared" si="25"/>
        <v>384.16</v>
      </c>
      <c r="J187"/>
      <c r="K187" s="51">
        <v>2</v>
      </c>
      <c r="L187" s="51">
        <v>150.5</v>
      </c>
      <c r="M187" s="60"/>
      <c r="N187" s="60"/>
      <c r="O187" s="47"/>
      <c r="P187" s="47"/>
      <c r="Q187" s="47"/>
      <c r="R187" s="48"/>
      <c r="S187" s="49"/>
      <c r="T187" s="70"/>
    </row>
    <row r="188" spans="1:20" s="71" customFormat="1" ht="22.5">
      <c r="A188" s="42" t="s">
        <v>354</v>
      </c>
      <c r="B188" s="40">
        <v>89489</v>
      </c>
      <c r="C188" s="40" t="s">
        <v>19</v>
      </c>
      <c r="D188" s="41" t="s">
        <v>355</v>
      </c>
      <c r="E188" s="112" t="s">
        <v>32</v>
      </c>
      <c r="F188" s="43">
        <f t="shared" si="22"/>
        <v>4</v>
      </c>
      <c r="G188" s="43">
        <f t="shared" si="23"/>
        <v>7.89</v>
      </c>
      <c r="H188" s="42">
        <f t="shared" si="24"/>
        <v>10.07</v>
      </c>
      <c r="I188" s="42">
        <f t="shared" si="25"/>
        <v>40.28</v>
      </c>
      <c r="J188"/>
      <c r="K188" s="52">
        <v>4</v>
      </c>
      <c r="L188" s="51">
        <v>7.89</v>
      </c>
      <c r="M188" s="60"/>
      <c r="N188" s="60"/>
      <c r="O188" s="47"/>
      <c r="P188" s="47"/>
      <c r="Q188" s="47"/>
      <c r="R188" s="48"/>
      <c r="S188" s="70"/>
      <c r="T188" s="70"/>
    </row>
    <row r="189" spans="1:20" s="71" customFormat="1" ht="33.75">
      <c r="A189" s="42" t="s">
        <v>356</v>
      </c>
      <c r="B189" s="40">
        <v>89490</v>
      </c>
      <c r="C189" s="40" t="s">
        <v>19</v>
      </c>
      <c r="D189" s="41" t="s">
        <v>357</v>
      </c>
      <c r="E189" s="112" t="s">
        <v>32</v>
      </c>
      <c r="F189" s="43">
        <f t="shared" si="22"/>
        <v>4</v>
      </c>
      <c r="G189" s="43">
        <f t="shared" si="23"/>
        <v>6.95</v>
      </c>
      <c r="H189" s="42">
        <f t="shared" si="24"/>
        <v>8.8699999999999992</v>
      </c>
      <c r="I189" s="42">
        <f t="shared" si="25"/>
        <v>35.479999999999997</v>
      </c>
      <c r="J189"/>
      <c r="K189" s="52">
        <v>4</v>
      </c>
      <c r="L189" s="51">
        <v>6.95</v>
      </c>
      <c r="M189" s="60"/>
      <c r="N189" s="60"/>
      <c r="O189" s="47"/>
      <c r="P189" s="47"/>
      <c r="Q189" s="47"/>
      <c r="R189" s="48"/>
      <c r="S189" s="70"/>
      <c r="T189" s="70"/>
    </row>
    <row r="190" spans="1:20" s="71" customFormat="1" ht="33.75">
      <c r="A190" s="42" t="s">
        <v>358</v>
      </c>
      <c r="B190" s="40">
        <v>94971</v>
      </c>
      <c r="C190" s="40" t="s">
        <v>19</v>
      </c>
      <c r="D190" s="69" t="s">
        <v>359</v>
      </c>
      <c r="E190" s="112" t="s">
        <v>59</v>
      </c>
      <c r="F190" s="43">
        <f t="shared" si="22"/>
        <v>0.64</v>
      </c>
      <c r="G190" s="43">
        <f t="shared" si="23"/>
        <v>521.88</v>
      </c>
      <c r="H190" s="42">
        <f t="shared" si="24"/>
        <v>666.07</v>
      </c>
      <c r="I190" s="42">
        <f t="shared" si="25"/>
        <v>426.28</v>
      </c>
      <c r="J190"/>
      <c r="K190" s="52">
        <f>4*0.6*0.9*0.3</f>
        <v>0.64800000000000002</v>
      </c>
      <c r="L190" s="51">
        <v>521.88</v>
      </c>
      <c r="M190" s="60"/>
      <c r="N190" s="60"/>
      <c r="O190" s="47"/>
      <c r="P190" s="47"/>
      <c r="Q190" s="47"/>
      <c r="R190" s="48"/>
      <c r="S190" s="70"/>
      <c r="T190" s="70"/>
    </row>
    <row r="191" spans="1:20" s="76" customFormat="1">
      <c r="A191" s="38"/>
      <c r="B191" s="38"/>
      <c r="C191" s="38"/>
      <c r="D191" s="32" t="s">
        <v>36</v>
      </c>
      <c r="E191" s="38"/>
      <c r="F191" s="38"/>
      <c r="G191" s="38"/>
      <c r="H191" s="38"/>
      <c r="I191" s="38">
        <f>TRUNC(SUM(I127:I190),2)</f>
        <v>49805.13</v>
      </c>
      <c r="J191"/>
      <c r="K191" s="53"/>
      <c r="L191" s="35"/>
      <c r="M191" s="72"/>
      <c r="N191" s="72"/>
      <c r="O191" s="73"/>
      <c r="P191" s="73"/>
      <c r="Q191" s="73"/>
      <c r="R191" s="74"/>
      <c r="S191" s="75"/>
      <c r="T191" s="75"/>
    </row>
    <row r="192" spans="1:20" s="76" customFormat="1" ht="6.75" customHeight="1">
      <c r="A192" s="113"/>
      <c r="B192" s="113"/>
      <c r="C192" s="113"/>
      <c r="D192" s="105"/>
      <c r="E192" s="113"/>
      <c r="F192" s="113"/>
      <c r="G192" s="113"/>
      <c r="H192" s="113"/>
      <c r="I192" s="113"/>
      <c r="J192"/>
      <c r="K192" s="53"/>
      <c r="L192" s="35"/>
      <c r="M192" s="72"/>
      <c r="N192" s="72"/>
      <c r="O192" s="73"/>
      <c r="P192" s="73"/>
      <c r="Q192" s="73"/>
      <c r="R192" s="74"/>
      <c r="S192" s="75"/>
      <c r="T192" s="75"/>
    </row>
    <row r="193" spans="1:20" s="37" customFormat="1">
      <c r="A193" s="38" t="s">
        <v>360</v>
      </c>
      <c r="B193" s="38"/>
      <c r="C193" s="38"/>
      <c r="D193" s="32" t="s">
        <v>361</v>
      </c>
      <c r="E193" s="32"/>
      <c r="F193" s="32"/>
      <c r="G193" s="33"/>
      <c r="H193" s="32"/>
      <c r="I193" s="32"/>
      <c r="J193"/>
      <c r="K193" s="53"/>
      <c r="L193" s="35"/>
      <c r="M193" s="34"/>
      <c r="N193" s="34"/>
      <c r="O193" s="36"/>
      <c r="P193" s="36"/>
      <c r="Q193" s="36"/>
      <c r="R193" s="114"/>
      <c r="S193" s="36"/>
      <c r="T193" s="36"/>
    </row>
    <row r="194" spans="1:20" s="61" customFormat="1" ht="22.5">
      <c r="A194" s="42" t="s">
        <v>362</v>
      </c>
      <c r="B194" s="40" t="s">
        <v>25</v>
      </c>
      <c r="C194" s="40" t="s">
        <v>363</v>
      </c>
      <c r="D194" s="41" t="s">
        <v>253</v>
      </c>
      <c r="E194" s="106" t="s">
        <v>32</v>
      </c>
      <c r="F194" s="42">
        <f t="shared" ref="F194:F220" si="26">TRUNC(K194,2)</f>
        <v>2</v>
      </c>
      <c r="G194" s="43">
        <f t="shared" ref="G194:G220" si="27">L194</f>
        <v>74.53</v>
      </c>
      <c r="H194" s="42">
        <f t="shared" ref="H194:H220" si="28">TRUNC(L194*L$12,2)</f>
        <v>95.12</v>
      </c>
      <c r="I194" s="42">
        <f t="shared" ref="I194:I220" si="29">TRUNC(F194*H194,2)</f>
        <v>190.24</v>
      </c>
      <c r="J194"/>
      <c r="K194" s="51">
        <v>2</v>
      </c>
      <c r="L194" s="51">
        <v>74.53</v>
      </c>
      <c r="M194" s="60"/>
      <c r="N194" s="60"/>
      <c r="O194" s="47"/>
      <c r="P194" s="47"/>
      <c r="Q194" s="47"/>
      <c r="R194" s="48"/>
      <c r="S194" s="47"/>
      <c r="T194" s="47"/>
    </row>
    <row r="195" spans="1:20" s="50" customFormat="1" ht="22.5">
      <c r="A195" s="42" t="s">
        <v>364</v>
      </c>
      <c r="B195" s="40">
        <v>91944</v>
      </c>
      <c r="C195" s="40" t="s">
        <v>19</v>
      </c>
      <c r="D195" s="41" t="s">
        <v>337</v>
      </c>
      <c r="E195" s="106" t="s">
        <v>32</v>
      </c>
      <c r="F195" s="42">
        <f t="shared" si="26"/>
        <v>1</v>
      </c>
      <c r="G195" s="43">
        <f t="shared" si="27"/>
        <v>11.44</v>
      </c>
      <c r="H195" s="42">
        <f t="shared" si="28"/>
        <v>14.6</v>
      </c>
      <c r="I195" s="42">
        <f t="shared" si="29"/>
        <v>14.6</v>
      </c>
      <c r="J195"/>
      <c r="K195" s="51">
        <v>1</v>
      </c>
      <c r="L195" s="51">
        <v>11.44</v>
      </c>
      <c r="M195" s="60"/>
      <c r="N195" s="60"/>
      <c r="O195" s="49"/>
      <c r="P195" s="49"/>
      <c r="Q195" s="49"/>
      <c r="R195" s="115"/>
      <c r="S195" s="49"/>
      <c r="T195" s="49"/>
    </row>
    <row r="196" spans="1:20" s="61" customFormat="1" ht="22.5">
      <c r="A196" s="42" t="s">
        <v>365</v>
      </c>
      <c r="B196" s="40">
        <v>91941</v>
      </c>
      <c r="C196" s="40" t="s">
        <v>19</v>
      </c>
      <c r="D196" s="41" t="s">
        <v>331</v>
      </c>
      <c r="E196" s="106" t="s">
        <v>32</v>
      </c>
      <c r="F196" s="42">
        <f t="shared" si="26"/>
        <v>17</v>
      </c>
      <c r="G196" s="43">
        <f t="shared" si="27"/>
        <v>8.2799999999999994</v>
      </c>
      <c r="H196" s="42">
        <f t="shared" si="28"/>
        <v>10.56</v>
      </c>
      <c r="I196" s="42">
        <f t="shared" si="29"/>
        <v>179.52</v>
      </c>
      <c r="J196"/>
      <c r="K196" s="51">
        <v>17</v>
      </c>
      <c r="L196" s="51">
        <v>8.2799999999999994</v>
      </c>
      <c r="M196" s="60"/>
      <c r="N196" s="60"/>
      <c r="O196" s="47"/>
      <c r="P196" s="47"/>
      <c r="Q196" s="47"/>
      <c r="R196" s="48"/>
      <c r="S196" s="47"/>
      <c r="T196" s="47"/>
    </row>
    <row r="197" spans="1:20" s="61" customFormat="1" ht="22.5">
      <c r="A197" s="42" t="s">
        <v>366</v>
      </c>
      <c r="B197" s="40">
        <v>91940</v>
      </c>
      <c r="C197" s="40" t="s">
        <v>19</v>
      </c>
      <c r="D197" s="41" t="s">
        <v>333</v>
      </c>
      <c r="E197" s="106" t="s">
        <v>32</v>
      </c>
      <c r="F197" s="42">
        <f t="shared" si="26"/>
        <v>5</v>
      </c>
      <c r="G197" s="43">
        <f t="shared" si="27"/>
        <v>12.15</v>
      </c>
      <c r="H197" s="42">
        <f t="shared" si="28"/>
        <v>15.5</v>
      </c>
      <c r="I197" s="42">
        <f t="shared" si="29"/>
        <v>77.5</v>
      </c>
      <c r="J197"/>
      <c r="K197" s="51">
        <v>5</v>
      </c>
      <c r="L197" s="51">
        <v>12.15</v>
      </c>
      <c r="M197" s="60"/>
      <c r="N197" s="60"/>
      <c r="O197" s="47"/>
      <c r="P197" s="47"/>
      <c r="Q197" s="47"/>
      <c r="R197" s="48"/>
      <c r="S197" s="47"/>
      <c r="T197" s="47"/>
    </row>
    <row r="198" spans="1:20" s="50" customFormat="1" ht="22.5">
      <c r="A198" s="42" t="s">
        <v>367</v>
      </c>
      <c r="B198" s="40">
        <v>91939</v>
      </c>
      <c r="C198" s="40" t="s">
        <v>19</v>
      </c>
      <c r="D198" s="41" t="s">
        <v>335</v>
      </c>
      <c r="E198" s="106" t="s">
        <v>32</v>
      </c>
      <c r="F198" s="42">
        <f t="shared" si="26"/>
        <v>2</v>
      </c>
      <c r="G198" s="43">
        <f t="shared" si="27"/>
        <v>22.47</v>
      </c>
      <c r="H198" s="42">
        <f t="shared" si="28"/>
        <v>28.67</v>
      </c>
      <c r="I198" s="42">
        <f t="shared" si="29"/>
        <v>57.34</v>
      </c>
      <c r="J198"/>
      <c r="K198" s="51">
        <v>2</v>
      </c>
      <c r="L198" s="51">
        <v>22.47</v>
      </c>
      <c r="M198" s="60"/>
      <c r="N198" s="60"/>
      <c r="O198" s="49"/>
      <c r="P198" s="49"/>
      <c r="Q198" s="49"/>
      <c r="R198" s="115"/>
      <c r="S198" s="49"/>
      <c r="T198" s="49"/>
    </row>
    <row r="199" spans="1:20" s="50" customFormat="1" ht="33.75">
      <c r="A199" s="42" t="s">
        <v>368</v>
      </c>
      <c r="B199" s="40">
        <v>95781</v>
      </c>
      <c r="C199" s="40" t="s">
        <v>19</v>
      </c>
      <c r="D199" s="41" t="s">
        <v>369</v>
      </c>
      <c r="E199" s="106" t="s">
        <v>32</v>
      </c>
      <c r="F199" s="42">
        <f t="shared" si="26"/>
        <v>4</v>
      </c>
      <c r="G199" s="43">
        <f t="shared" si="27"/>
        <v>29.75</v>
      </c>
      <c r="H199" s="42">
        <f t="shared" si="28"/>
        <v>37.96</v>
      </c>
      <c r="I199" s="42">
        <f t="shared" si="29"/>
        <v>151.84</v>
      </c>
      <c r="J199"/>
      <c r="K199" s="51">
        <v>4</v>
      </c>
      <c r="L199" s="51">
        <v>29.75</v>
      </c>
      <c r="M199" s="60"/>
      <c r="N199" s="60"/>
      <c r="O199" s="49"/>
      <c r="P199" s="49"/>
      <c r="Q199" s="49"/>
      <c r="R199" s="115"/>
      <c r="S199" s="49"/>
      <c r="T199" s="49"/>
    </row>
    <row r="200" spans="1:20" s="50" customFormat="1" ht="22.5">
      <c r="A200" s="42" t="s">
        <v>370</v>
      </c>
      <c r="B200" s="40">
        <v>90444</v>
      </c>
      <c r="C200" s="40" t="s">
        <v>19</v>
      </c>
      <c r="D200" s="41" t="s">
        <v>240</v>
      </c>
      <c r="E200" s="106" t="s">
        <v>113</v>
      </c>
      <c r="F200" s="42">
        <f t="shared" si="26"/>
        <v>8</v>
      </c>
      <c r="G200" s="43">
        <f t="shared" si="27"/>
        <v>19.059999999999999</v>
      </c>
      <c r="H200" s="42">
        <f t="shared" si="28"/>
        <v>24.32</v>
      </c>
      <c r="I200" s="42">
        <f t="shared" si="29"/>
        <v>194.56</v>
      </c>
      <c r="J200"/>
      <c r="K200" s="51">
        <v>8</v>
      </c>
      <c r="L200" s="51">
        <v>19.059999999999999</v>
      </c>
      <c r="M200" s="60"/>
      <c r="N200" s="60"/>
      <c r="O200" s="49"/>
      <c r="P200" s="49"/>
      <c r="Q200" s="49"/>
      <c r="R200" s="115"/>
      <c r="S200" s="49"/>
      <c r="T200" s="49"/>
    </row>
    <row r="201" spans="1:20" s="50" customFormat="1" ht="22.5">
      <c r="A201" s="42" t="s">
        <v>371</v>
      </c>
      <c r="B201" s="40">
        <v>90447</v>
      </c>
      <c r="C201" s="40" t="s">
        <v>19</v>
      </c>
      <c r="D201" s="41" t="s">
        <v>242</v>
      </c>
      <c r="E201" s="106" t="s">
        <v>113</v>
      </c>
      <c r="F201" s="42">
        <f t="shared" si="26"/>
        <v>40</v>
      </c>
      <c r="G201" s="43">
        <f t="shared" si="27"/>
        <v>5.05</v>
      </c>
      <c r="H201" s="42">
        <f t="shared" si="28"/>
        <v>6.44</v>
      </c>
      <c r="I201" s="42">
        <f t="shared" si="29"/>
        <v>257.60000000000002</v>
      </c>
      <c r="J201"/>
      <c r="K201" s="51">
        <v>40</v>
      </c>
      <c r="L201" s="51">
        <v>5.05</v>
      </c>
      <c r="M201" s="60"/>
      <c r="N201" s="60"/>
      <c r="O201" s="49"/>
      <c r="P201" s="49"/>
      <c r="Q201" s="49"/>
      <c r="R201" s="115"/>
      <c r="S201" s="49"/>
      <c r="T201" s="49"/>
    </row>
    <row r="202" spans="1:20" s="50" customFormat="1" ht="33.75">
      <c r="A202" s="42" t="s">
        <v>372</v>
      </c>
      <c r="B202" s="40">
        <v>91854</v>
      </c>
      <c r="C202" s="40" t="s">
        <v>19</v>
      </c>
      <c r="D202" s="41" t="s">
        <v>246</v>
      </c>
      <c r="E202" s="106" t="s">
        <v>113</v>
      </c>
      <c r="F202" s="42">
        <f t="shared" si="26"/>
        <v>46.5</v>
      </c>
      <c r="G202" s="43">
        <f t="shared" si="27"/>
        <v>7.75</v>
      </c>
      <c r="H202" s="42">
        <f t="shared" si="28"/>
        <v>9.89</v>
      </c>
      <c r="I202" s="42">
        <f t="shared" si="29"/>
        <v>459.88</v>
      </c>
      <c r="J202"/>
      <c r="K202" s="51">
        <f>36+10.5</f>
        <v>46.5</v>
      </c>
      <c r="L202" s="51">
        <v>7.75</v>
      </c>
      <c r="M202" s="60"/>
      <c r="N202" s="60"/>
      <c r="O202" s="49"/>
      <c r="P202" s="49"/>
      <c r="Q202" s="49"/>
      <c r="R202" s="115"/>
      <c r="S202" s="49"/>
      <c r="T202" s="49"/>
    </row>
    <row r="203" spans="1:20" s="50" customFormat="1">
      <c r="A203" s="42" t="s">
        <v>373</v>
      </c>
      <c r="B203" s="40">
        <v>91871</v>
      </c>
      <c r="C203" s="40" t="s">
        <v>19</v>
      </c>
      <c r="D203" s="40" t="s">
        <v>248</v>
      </c>
      <c r="E203" s="106" t="s">
        <v>113</v>
      </c>
      <c r="F203" s="42">
        <f t="shared" si="26"/>
        <v>10.5</v>
      </c>
      <c r="G203" s="43">
        <f t="shared" si="27"/>
        <v>10.8</v>
      </c>
      <c r="H203" s="42">
        <f t="shared" si="28"/>
        <v>13.78</v>
      </c>
      <c r="I203" s="42">
        <f t="shared" si="29"/>
        <v>144.69</v>
      </c>
      <c r="J203"/>
      <c r="K203" s="51">
        <v>10.5</v>
      </c>
      <c r="L203" s="51">
        <v>10.8</v>
      </c>
      <c r="M203" s="60"/>
      <c r="N203" s="60"/>
      <c r="O203" s="49"/>
      <c r="P203" s="49"/>
      <c r="Q203" s="49"/>
      <c r="R203" s="115"/>
      <c r="S203" s="49"/>
      <c r="T203" s="49"/>
    </row>
    <row r="204" spans="1:20" s="50" customFormat="1" ht="33.75">
      <c r="A204" s="42" t="s">
        <v>374</v>
      </c>
      <c r="B204" s="40">
        <v>91835</v>
      </c>
      <c r="C204" s="40" t="s">
        <v>19</v>
      </c>
      <c r="D204" s="41" t="s">
        <v>351</v>
      </c>
      <c r="E204" s="106" t="s">
        <v>113</v>
      </c>
      <c r="F204" s="42">
        <f t="shared" si="26"/>
        <v>47</v>
      </c>
      <c r="G204" s="43">
        <f t="shared" si="27"/>
        <v>9.34</v>
      </c>
      <c r="H204" s="42">
        <f t="shared" si="28"/>
        <v>11.92</v>
      </c>
      <c r="I204" s="42">
        <f t="shared" si="29"/>
        <v>560.24</v>
      </c>
      <c r="J204"/>
      <c r="K204" s="51">
        <v>47</v>
      </c>
      <c r="L204" s="51">
        <v>9.34</v>
      </c>
      <c r="M204" s="60"/>
      <c r="N204" s="60"/>
      <c r="O204" s="49"/>
      <c r="P204" s="49"/>
      <c r="Q204" s="49"/>
      <c r="R204" s="115"/>
      <c r="S204" s="49"/>
      <c r="T204" s="49"/>
    </row>
    <row r="205" spans="1:20" s="50" customFormat="1">
      <c r="A205" s="42" t="s">
        <v>375</v>
      </c>
      <c r="B205" s="40">
        <v>98307</v>
      </c>
      <c r="C205" s="40" t="s">
        <v>19</v>
      </c>
      <c r="D205" s="41" t="s">
        <v>376</v>
      </c>
      <c r="E205" s="106" t="s">
        <v>32</v>
      </c>
      <c r="F205" s="42">
        <f t="shared" si="26"/>
        <v>27</v>
      </c>
      <c r="G205" s="43">
        <f t="shared" si="27"/>
        <v>39.851999999999997</v>
      </c>
      <c r="H205" s="42">
        <f t="shared" si="28"/>
        <v>50.86</v>
      </c>
      <c r="I205" s="42">
        <f t="shared" si="29"/>
        <v>1373.22</v>
      </c>
      <c r="J205"/>
      <c r="K205" s="51">
        <v>27</v>
      </c>
      <c r="L205" s="51">
        <v>39.851999999999997</v>
      </c>
      <c r="M205" s="60"/>
      <c r="N205" s="60"/>
      <c r="O205" s="49"/>
      <c r="P205" s="49"/>
      <c r="Q205" s="49"/>
      <c r="R205" s="115"/>
      <c r="S205" s="49"/>
      <c r="T205" s="49"/>
    </row>
    <row r="206" spans="1:20" s="50" customFormat="1" ht="22.5">
      <c r="A206" s="42" t="s">
        <v>377</v>
      </c>
      <c r="B206" s="40">
        <v>98308</v>
      </c>
      <c r="C206" s="40" t="s">
        <v>19</v>
      </c>
      <c r="D206" s="41" t="s">
        <v>378</v>
      </c>
      <c r="E206" s="106" t="s">
        <v>32</v>
      </c>
      <c r="F206" s="42">
        <f t="shared" si="26"/>
        <v>2</v>
      </c>
      <c r="G206" s="43">
        <f t="shared" si="27"/>
        <v>25.78</v>
      </c>
      <c r="H206" s="42">
        <f t="shared" si="28"/>
        <v>32.9</v>
      </c>
      <c r="I206" s="42">
        <f t="shared" si="29"/>
        <v>65.8</v>
      </c>
      <c r="J206"/>
      <c r="K206" s="51">
        <v>2</v>
      </c>
      <c r="L206" s="51">
        <v>25.78</v>
      </c>
      <c r="M206" s="60"/>
      <c r="N206" s="60"/>
      <c r="O206" s="49"/>
      <c r="P206" s="49"/>
      <c r="Q206" s="49"/>
      <c r="R206" s="115"/>
      <c r="S206" s="49"/>
      <c r="T206" s="49"/>
    </row>
    <row r="207" spans="1:20" s="50" customFormat="1" ht="22.5">
      <c r="A207" s="42" t="s">
        <v>379</v>
      </c>
      <c r="B207" s="40">
        <v>98295</v>
      </c>
      <c r="C207" s="40" t="s">
        <v>19</v>
      </c>
      <c r="D207" s="41" t="s">
        <v>380</v>
      </c>
      <c r="E207" s="106" t="s">
        <v>113</v>
      </c>
      <c r="F207" s="42">
        <f t="shared" si="26"/>
        <v>638.77</v>
      </c>
      <c r="G207" s="43">
        <f t="shared" si="27"/>
        <v>5.38</v>
      </c>
      <c r="H207" s="42">
        <f t="shared" si="28"/>
        <v>6.86</v>
      </c>
      <c r="I207" s="42">
        <f t="shared" si="29"/>
        <v>4381.96</v>
      </c>
      <c r="J207"/>
      <c r="K207" s="51">
        <f>((9*13.5)+(13*7.9)+(6*21)+(6*11)+(24*5.5)+(5*6.5))*1.1</f>
        <v>638.7700000000001</v>
      </c>
      <c r="L207" s="51">
        <v>5.38</v>
      </c>
      <c r="M207" s="60"/>
      <c r="N207" s="60"/>
      <c r="O207" s="49"/>
      <c r="P207" s="49"/>
      <c r="Q207" s="49"/>
      <c r="R207" s="115"/>
      <c r="S207" s="49"/>
      <c r="T207" s="49"/>
    </row>
    <row r="208" spans="1:20" s="50" customFormat="1">
      <c r="A208" s="42" t="s">
        <v>381</v>
      </c>
      <c r="B208" s="40">
        <v>98301</v>
      </c>
      <c r="C208" s="40" t="s">
        <v>19</v>
      </c>
      <c r="D208" s="116" t="s">
        <v>382</v>
      </c>
      <c r="E208" s="106" t="s">
        <v>32</v>
      </c>
      <c r="F208" s="42">
        <f t="shared" si="26"/>
        <v>1</v>
      </c>
      <c r="G208" s="43">
        <f t="shared" si="27"/>
        <v>514.75</v>
      </c>
      <c r="H208" s="42">
        <f t="shared" si="28"/>
        <v>656.97</v>
      </c>
      <c r="I208" s="42">
        <f t="shared" si="29"/>
        <v>656.97</v>
      </c>
      <c r="J208"/>
      <c r="K208" s="51">
        <v>1</v>
      </c>
      <c r="L208" s="51">
        <v>514.75</v>
      </c>
      <c r="M208" s="60"/>
      <c r="N208" s="60"/>
      <c r="O208" s="49"/>
      <c r="P208" s="49"/>
      <c r="Q208" s="49"/>
      <c r="R208" s="115"/>
      <c r="S208" s="49"/>
      <c r="T208" s="49"/>
    </row>
    <row r="209" spans="1:20" s="50" customFormat="1" ht="22.5">
      <c r="A209" s="42" t="s">
        <v>383</v>
      </c>
      <c r="B209" s="40" t="s">
        <v>217</v>
      </c>
      <c r="C209" s="40" t="s">
        <v>384</v>
      </c>
      <c r="D209" s="41" t="s">
        <v>385</v>
      </c>
      <c r="E209" s="106" t="s">
        <v>32</v>
      </c>
      <c r="F209" s="42">
        <f t="shared" si="26"/>
        <v>1</v>
      </c>
      <c r="G209" s="43">
        <f t="shared" si="27"/>
        <v>657.42</v>
      </c>
      <c r="H209" s="42">
        <f t="shared" si="28"/>
        <v>839.06</v>
      </c>
      <c r="I209" s="42">
        <f t="shared" si="29"/>
        <v>839.06</v>
      </c>
      <c r="J209"/>
      <c r="K209" s="51">
        <v>1</v>
      </c>
      <c r="L209" s="51">
        <v>657.42</v>
      </c>
      <c r="M209" s="60"/>
      <c r="N209" s="60"/>
      <c r="O209" s="49"/>
      <c r="P209" s="49"/>
      <c r="Q209" s="49"/>
      <c r="R209" s="115"/>
      <c r="S209" s="49"/>
      <c r="T209" s="49"/>
    </row>
    <row r="210" spans="1:20" s="50" customFormat="1" ht="22.5">
      <c r="A210" s="42" t="s">
        <v>386</v>
      </c>
      <c r="B210" s="117" t="s">
        <v>217</v>
      </c>
      <c r="C210" s="40" t="s">
        <v>387</v>
      </c>
      <c r="D210" s="69" t="s">
        <v>388</v>
      </c>
      <c r="E210" s="106" t="s">
        <v>32</v>
      </c>
      <c r="F210" s="42">
        <f t="shared" si="26"/>
        <v>1</v>
      </c>
      <c r="G210" s="43">
        <f t="shared" si="27"/>
        <v>47.48</v>
      </c>
      <c r="H210" s="42">
        <f t="shared" si="28"/>
        <v>60.59</v>
      </c>
      <c r="I210" s="42">
        <f t="shared" si="29"/>
        <v>60.59</v>
      </c>
      <c r="J210"/>
      <c r="K210" s="51">
        <v>1</v>
      </c>
      <c r="L210" s="51">
        <v>47.48</v>
      </c>
      <c r="M210" s="60"/>
      <c r="N210" s="60"/>
      <c r="O210" s="49"/>
      <c r="P210" s="49"/>
      <c r="Q210" s="49"/>
      <c r="R210" s="115"/>
      <c r="S210" s="49"/>
      <c r="T210" s="49"/>
    </row>
    <row r="211" spans="1:20" s="50" customFormat="1" ht="22.5">
      <c r="A211" s="42" t="s">
        <v>389</v>
      </c>
      <c r="B211" s="117" t="s">
        <v>217</v>
      </c>
      <c r="C211" s="40" t="s">
        <v>390</v>
      </c>
      <c r="D211" s="118" t="s">
        <v>391</v>
      </c>
      <c r="E211" s="106" t="s">
        <v>32</v>
      </c>
      <c r="F211" s="42">
        <f t="shared" si="26"/>
        <v>1</v>
      </c>
      <c r="G211" s="43">
        <f t="shared" si="27"/>
        <v>191.07</v>
      </c>
      <c r="H211" s="42">
        <f t="shared" si="28"/>
        <v>243.86</v>
      </c>
      <c r="I211" s="42">
        <f t="shared" si="29"/>
        <v>243.86</v>
      </c>
      <c r="J211"/>
      <c r="K211" s="51">
        <v>1</v>
      </c>
      <c r="L211" s="51">
        <v>191.07</v>
      </c>
      <c r="M211" s="60"/>
      <c r="N211" s="60"/>
      <c r="O211" s="49"/>
      <c r="P211" s="49"/>
      <c r="Q211" s="49"/>
      <c r="R211" s="115"/>
      <c r="S211" s="49"/>
      <c r="T211" s="49"/>
    </row>
    <row r="212" spans="1:20" s="50" customFormat="1" ht="22.5">
      <c r="A212" s="42" t="s">
        <v>392</v>
      </c>
      <c r="B212" s="117" t="s">
        <v>217</v>
      </c>
      <c r="C212" s="40" t="s">
        <v>393</v>
      </c>
      <c r="D212" s="118" t="s">
        <v>394</v>
      </c>
      <c r="E212" s="106" t="s">
        <v>32</v>
      </c>
      <c r="F212" s="42">
        <f t="shared" si="26"/>
        <v>18</v>
      </c>
      <c r="G212" s="43">
        <f t="shared" si="27"/>
        <v>15.24</v>
      </c>
      <c r="H212" s="42">
        <f t="shared" si="28"/>
        <v>19.45</v>
      </c>
      <c r="I212" s="42">
        <f t="shared" si="29"/>
        <v>350.1</v>
      </c>
      <c r="J212"/>
      <c r="K212" s="51">
        <v>18</v>
      </c>
      <c r="L212" s="51">
        <v>15.24</v>
      </c>
      <c r="M212" s="60"/>
      <c r="N212" s="60"/>
      <c r="O212" s="49"/>
      <c r="P212" s="49"/>
      <c r="Q212" s="49"/>
      <c r="R212" s="115"/>
      <c r="S212" s="49"/>
      <c r="T212" s="49"/>
    </row>
    <row r="213" spans="1:20" s="50" customFormat="1" ht="22.5">
      <c r="A213" s="42" t="s">
        <v>395</v>
      </c>
      <c r="B213" s="117" t="s">
        <v>217</v>
      </c>
      <c r="C213" s="40" t="s">
        <v>396</v>
      </c>
      <c r="D213" s="118" t="s">
        <v>397</v>
      </c>
      <c r="E213" s="106" t="s">
        <v>32</v>
      </c>
      <c r="F213" s="42">
        <f t="shared" si="26"/>
        <v>7</v>
      </c>
      <c r="G213" s="43">
        <f t="shared" si="27"/>
        <v>20.41</v>
      </c>
      <c r="H213" s="42">
        <f t="shared" si="28"/>
        <v>26.04</v>
      </c>
      <c r="I213" s="42">
        <f t="shared" si="29"/>
        <v>182.28</v>
      </c>
      <c r="J213"/>
      <c r="K213" s="51">
        <v>7</v>
      </c>
      <c r="L213" s="51">
        <v>20.41</v>
      </c>
      <c r="M213" s="60"/>
      <c r="N213" s="60"/>
      <c r="O213" s="49"/>
      <c r="P213" s="49"/>
      <c r="Q213" s="47"/>
      <c r="R213" s="48"/>
      <c r="S213" s="49"/>
      <c r="T213" s="70"/>
    </row>
    <row r="214" spans="1:20" s="50" customFormat="1">
      <c r="A214" s="42" t="s">
        <v>398</v>
      </c>
      <c r="B214" s="117" t="s">
        <v>217</v>
      </c>
      <c r="C214" s="40" t="s">
        <v>399</v>
      </c>
      <c r="D214" s="69" t="s">
        <v>400</v>
      </c>
      <c r="E214" s="106" t="s">
        <v>32</v>
      </c>
      <c r="F214" s="42">
        <f t="shared" si="26"/>
        <v>27</v>
      </c>
      <c r="G214" s="43">
        <f t="shared" si="27"/>
        <v>3.11</v>
      </c>
      <c r="H214" s="42">
        <f t="shared" si="28"/>
        <v>3.96</v>
      </c>
      <c r="I214" s="42">
        <f t="shared" si="29"/>
        <v>106.92</v>
      </c>
      <c r="J214"/>
      <c r="K214" s="51">
        <v>27</v>
      </c>
      <c r="L214" s="51">
        <v>3.11</v>
      </c>
      <c r="M214" s="60"/>
      <c r="N214" s="60"/>
      <c r="O214" s="47"/>
      <c r="P214" s="47"/>
      <c r="Q214" s="47"/>
      <c r="R214" s="48"/>
      <c r="S214" s="49"/>
      <c r="T214" s="70"/>
    </row>
    <row r="215" spans="1:20" s="50" customFormat="1" ht="33.75">
      <c r="A215" s="42" t="s">
        <v>401</v>
      </c>
      <c r="B215" s="40">
        <v>97883</v>
      </c>
      <c r="C215" s="40" t="s">
        <v>19</v>
      </c>
      <c r="D215" s="41" t="s">
        <v>323</v>
      </c>
      <c r="E215" s="106" t="s">
        <v>32</v>
      </c>
      <c r="F215" s="42">
        <f t="shared" si="26"/>
        <v>2</v>
      </c>
      <c r="G215" s="43">
        <f t="shared" si="27"/>
        <v>388.52</v>
      </c>
      <c r="H215" s="42">
        <f t="shared" si="28"/>
        <v>495.86</v>
      </c>
      <c r="I215" s="42">
        <f t="shared" si="29"/>
        <v>991.72</v>
      </c>
      <c r="J215"/>
      <c r="K215" s="51">
        <v>2</v>
      </c>
      <c r="L215" s="51">
        <v>388.52</v>
      </c>
      <c r="M215" s="60"/>
      <c r="N215" s="60"/>
      <c r="O215" s="47"/>
      <c r="P215" s="47"/>
      <c r="Q215" s="47"/>
      <c r="R215" s="48"/>
      <c r="S215" s="49"/>
      <c r="T215" s="70"/>
    </row>
    <row r="216" spans="1:20" s="50" customFormat="1" ht="33.75">
      <c r="A216" s="42" t="s">
        <v>402</v>
      </c>
      <c r="B216" s="40">
        <v>91857</v>
      </c>
      <c r="C216" s="40" t="s">
        <v>19</v>
      </c>
      <c r="D216" s="41" t="s">
        <v>403</v>
      </c>
      <c r="E216" s="106" t="s">
        <v>113</v>
      </c>
      <c r="F216" s="42">
        <f t="shared" si="26"/>
        <v>15</v>
      </c>
      <c r="G216" s="43">
        <f t="shared" si="27"/>
        <v>12.94</v>
      </c>
      <c r="H216" s="42">
        <f t="shared" si="28"/>
        <v>16.510000000000002</v>
      </c>
      <c r="I216" s="42">
        <f t="shared" si="29"/>
        <v>247.65</v>
      </c>
      <c r="J216"/>
      <c r="K216" s="51">
        <v>15</v>
      </c>
      <c r="L216" s="51">
        <v>12.94</v>
      </c>
      <c r="M216" s="60"/>
      <c r="N216" s="60"/>
      <c r="O216" s="47"/>
      <c r="P216" s="47"/>
      <c r="Q216" s="47"/>
      <c r="R216" s="48"/>
      <c r="S216" s="49"/>
      <c r="T216" s="70"/>
    </row>
    <row r="217" spans="1:20" s="50" customFormat="1" ht="33.75">
      <c r="A217" s="42" t="s">
        <v>404</v>
      </c>
      <c r="B217" s="40">
        <v>91884</v>
      </c>
      <c r="C217" s="40" t="s">
        <v>19</v>
      </c>
      <c r="D217" s="41" t="s">
        <v>405</v>
      </c>
      <c r="E217" s="106" t="s">
        <v>32</v>
      </c>
      <c r="F217" s="42">
        <f t="shared" si="26"/>
        <v>18</v>
      </c>
      <c r="G217" s="43">
        <f t="shared" si="27"/>
        <v>7.11</v>
      </c>
      <c r="H217" s="42">
        <f t="shared" si="28"/>
        <v>9.07</v>
      </c>
      <c r="I217" s="42">
        <f t="shared" si="29"/>
        <v>163.26</v>
      </c>
      <c r="J217"/>
      <c r="K217" s="51">
        <v>18</v>
      </c>
      <c r="L217" s="51">
        <v>7.11</v>
      </c>
      <c r="M217" s="60"/>
      <c r="N217" s="60"/>
      <c r="O217" s="47"/>
      <c r="P217" s="47"/>
      <c r="Q217" s="47"/>
      <c r="R217" s="48"/>
      <c r="S217" s="49"/>
      <c r="T217" s="70"/>
    </row>
    <row r="218" spans="1:20" s="50" customFormat="1" ht="22.5">
      <c r="A218" s="42" t="s">
        <v>406</v>
      </c>
      <c r="B218" s="117" t="s">
        <v>217</v>
      </c>
      <c r="C218" s="40" t="s">
        <v>407</v>
      </c>
      <c r="D218" s="41" t="s">
        <v>408</v>
      </c>
      <c r="E218" s="106" t="s">
        <v>113</v>
      </c>
      <c r="F218" s="42">
        <f t="shared" si="26"/>
        <v>18</v>
      </c>
      <c r="G218" s="43">
        <f t="shared" si="27"/>
        <v>130.91</v>
      </c>
      <c r="H218" s="42">
        <f t="shared" si="28"/>
        <v>167.08</v>
      </c>
      <c r="I218" s="42">
        <f t="shared" si="29"/>
        <v>3007.44</v>
      </c>
      <c r="J218"/>
      <c r="K218" s="51">
        <v>18</v>
      </c>
      <c r="L218" s="51">
        <v>130.91</v>
      </c>
      <c r="M218" s="60"/>
      <c r="N218" s="60"/>
      <c r="O218" s="47"/>
      <c r="P218" s="47"/>
      <c r="Q218" s="47"/>
      <c r="R218" s="48"/>
      <c r="S218" s="49"/>
      <c r="T218" s="70"/>
    </row>
    <row r="219" spans="1:20" s="50" customFormat="1" ht="45">
      <c r="A219" s="42" t="s">
        <v>409</v>
      </c>
      <c r="B219" s="117">
        <v>96563</v>
      </c>
      <c r="C219" s="40" t="s">
        <v>19</v>
      </c>
      <c r="D219" s="41" t="s">
        <v>410</v>
      </c>
      <c r="E219" s="106" t="s">
        <v>32</v>
      </c>
      <c r="F219" s="42">
        <f t="shared" si="26"/>
        <v>11</v>
      </c>
      <c r="G219" s="43">
        <f t="shared" si="27"/>
        <v>25.64</v>
      </c>
      <c r="H219" s="42">
        <f t="shared" si="28"/>
        <v>32.72</v>
      </c>
      <c r="I219" s="42">
        <f t="shared" si="29"/>
        <v>359.92</v>
      </c>
      <c r="J219"/>
      <c r="K219" s="51">
        <v>11</v>
      </c>
      <c r="L219" s="51">
        <v>25.64</v>
      </c>
      <c r="M219" s="60"/>
      <c r="N219" s="60"/>
      <c r="O219" s="47"/>
      <c r="P219" s="47"/>
      <c r="Q219" s="47"/>
      <c r="R219" s="48"/>
      <c r="S219" s="49"/>
      <c r="T219" s="70"/>
    </row>
    <row r="220" spans="1:20" s="50" customFormat="1" ht="33.75">
      <c r="A220" s="42" t="s">
        <v>411</v>
      </c>
      <c r="B220" s="40" t="s">
        <v>217</v>
      </c>
      <c r="C220" s="40" t="s">
        <v>412</v>
      </c>
      <c r="D220" s="41" t="s">
        <v>413</v>
      </c>
      <c r="E220" s="106" t="s">
        <v>113</v>
      </c>
      <c r="F220" s="42">
        <f t="shared" si="26"/>
        <v>4</v>
      </c>
      <c r="G220" s="43">
        <f t="shared" si="27"/>
        <v>20.64</v>
      </c>
      <c r="H220" s="42">
        <f t="shared" si="28"/>
        <v>26.34</v>
      </c>
      <c r="I220" s="42">
        <f t="shared" si="29"/>
        <v>105.36</v>
      </c>
      <c r="J220"/>
      <c r="K220" s="51">
        <v>4</v>
      </c>
      <c r="L220" s="51">
        <v>20.64</v>
      </c>
      <c r="M220" s="60"/>
      <c r="N220" s="60"/>
      <c r="O220" s="47"/>
      <c r="P220" s="47"/>
      <c r="Q220" s="47"/>
      <c r="R220" s="48"/>
      <c r="S220" s="49"/>
      <c r="T220" s="70"/>
    </row>
    <row r="221" spans="1:20" s="76" customFormat="1">
      <c r="A221" s="38"/>
      <c r="B221" s="38"/>
      <c r="C221" s="38"/>
      <c r="D221" s="32" t="s">
        <v>36</v>
      </c>
      <c r="E221" s="38"/>
      <c r="F221" s="38"/>
      <c r="G221" s="38"/>
      <c r="H221" s="38"/>
      <c r="I221" s="38">
        <f>TRUNC(SUM(I194:I220),2)</f>
        <v>15424.12</v>
      </c>
      <c r="J221"/>
      <c r="K221" s="53"/>
      <c r="L221" s="35"/>
      <c r="M221" s="72"/>
      <c r="N221" s="72"/>
      <c r="O221" s="73"/>
      <c r="P221" s="73"/>
      <c r="Q221" s="73"/>
      <c r="R221" s="74"/>
      <c r="S221" s="75"/>
      <c r="T221" s="75"/>
    </row>
    <row r="222" spans="1:20" s="76" customFormat="1" ht="7.5" customHeight="1">
      <c r="A222" s="102"/>
      <c r="B222" s="103"/>
      <c r="C222" s="103"/>
      <c r="D222" s="81"/>
      <c r="E222" s="82"/>
      <c r="F222" s="79"/>
      <c r="G222" s="79"/>
      <c r="H222" s="59"/>
      <c r="I222" s="82"/>
      <c r="J222"/>
      <c r="K222" s="53"/>
      <c r="L222" s="35"/>
      <c r="M222" s="72"/>
      <c r="N222" s="72"/>
      <c r="O222" s="73"/>
      <c r="P222" s="73"/>
      <c r="Q222" s="73"/>
      <c r="R222" s="74"/>
      <c r="S222" s="75"/>
      <c r="T222" s="75"/>
    </row>
    <row r="223" spans="1:20" s="37" customFormat="1">
      <c r="A223" s="38" t="s">
        <v>414</v>
      </c>
      <c r="B223" s="38"/>
      <c r="C223" s="38"/>
      <c r="D223" s="32" t="s">
        <v>415</v>
      </c>
      <c r="E223" s="32"/>
      <c r="F223" s="38"/>
      <c r="G223" s="38"/>
      <c r="H223" s="32"/>
      <c r="I223" s="32"/>
      <c r="J223"/>
      <c r="K223" s="78"/>
      <c r="L223" s="52"/>
      <c r="M223" s="7"/>
      <c r="N223" s="7"/>
      <c r="O223" s="9"/>
      <c r="P223" s="9"/>
      <c r="Q223" s="9"/>
      <c r="R223" s="10"/>
      <c r="S223" s="36"/>
      <c r="T223" s="11"/>
    </row>
    <row r="224" spans="1:20" s="37" customFormat="1">
      <c r="A224" s="38" t="s">
        <v>416</v>
      </c>
      <c r="B224" s="38"/>
      <c r="C224" s="38"/>
      <c r="D224" s="100" t="s">
        <v>417</v>
      </c>
      <c r="E224" s="38"/>
      <c r="F224" s="38"/>
      <c r="G224" s="38"/>
      <c r="H224" s="38"/>
      <c r="I224" s="38"/>
      <c r="J224"/>
      <c r="K224" s="78"/>
      <c r="L224" s="52"/>
      <c r="M224" s="7"/>
      <c r="N224" s="7"/>
      <c r="O224" s="9"/>
      <c r="P224" s="9"/>
      <c r="Q224" s="9"/>
      <c r="R224" s="10"/>
      <c r="S224" s="36"/>
      <c r="T224" s="11"/>
    </row>
    <row r="225" spans="1:20" s="50" customFormat="1" ht="22.5">
      <c r="A225" s="42" t="s">
        <v>418</v>
      </c>
      <c r="B225" s="40">
        <v>90447</v>
      </c>
      <c r="C225" s="40" t="s">
        <v>19</v>
      </c>
      <c r="D225" s="41" t="s">
        <v>242</v>
      </c>
      <c r="E225" s="42" t="s">
        <v>113</v>
      </c>
      <c r="F225" s="42">
        <v>35</v>
      </c>
      <c r="G225" s="43">
        <f t="shared" ref="G225:G256" si="30">L225</f>
        <v>5.05</v>
      </c>
      <c r="H225" s="42">
        <f t="shared" ref="H225:H256" si="31">TRUNC(L225*L$12,2)</f>
        <v>6.44</v>
      </c>
      <c r="I225" s="42">
        <f t="shared" ref="I225:I256" si="32">TRUNC(F225*H225,2)</f>
        <v>225.4</v>
      </c>
      <c r="J225"/>
      <c r="K225" s="51">
        <f>11*3</f>
        <v>33</v>
      </c>
      <c r="L225" s="52">
        <v>5.05</v>
      </c>
      <c r="M225" s="92"/>
      <c r="N225" s="92"/>
      <c r="O225" s="47"/>
      <c r="P225" s="47"/>
      <c r="Q225" s="47"/>
      <c r="R225" s="48"/>
      <c r="S225" s="49"/>
      <c r="T225" s="70"/>
    </row>
    <row r="226" spans="1:20" s="111" customFormat="1" ht="33.75">
      <c r="A226" s="42" t="s">
        <v>419</v>
      </c>
      <c r="B226" s="40" t="s">
        <v>420</v>
      </c>
      <c r="C226" s="40" t="s">
        <v>19</v>
      </c>
      <c r="D226" s="41" t="s">
        <v>421</v>
      </c>
      <c r="E226" s="42" t="s">
        <v>32</v>
      </c>
      <c r="F226" s="42">
        <f t="shared" ref="F226:F257" si="33">TRUNC(K226,2)</f>
        <v>3</v>
      </c>
      <c r="G226" s="43">
        <f t="shared" si="30"/>
        <v>320.27</v>
      </c>
      <c r="H226" s="42">
        <f t="shared" si="31"/>
        <v>408.76</v>
      </c>
      <c r="I226" s="42">
        <f t="shared" si="32"/>
        <v>1226.28</v>
      </c>
      <c r="J226"/>
      <c r="K226" s="51">
        <v>3</v>
      </c>
      <c r="L226" s="52">
        <v>320.27</v>
      </c>
      <c r="M226" s="92"/>
      <c r="N226" s="92"/>
      <c r="O226" s="108"/>
      <c r="P226" s="108"/>
      <c r="Q226" s="108"/>
      <c r="R226" s="109"/>
      <c r="S226" s="110"/>
      <c r="T226" s="108"/>
    </row>
    <row r="227" spans="1:20" s="111" customFormat="1" ht="22.5">
      <c r="A227" s="42" t="s">
        <v>422</v>
      </c>
      <c r="B227" s="40" t="s">
        <v>25</v>
      </c>
      <c r="C227" s="40" t="s">
        <v>423</v>
      </c>
      <c r="D227" s="69" t="s">
        <v>424</v>
      </c>
      <c r="E227" s="98" t="s">
        <v>32</v>
      </c>
      <c r="F227" s="42">
        <f t="shared" si="33"/>
        <v>1</v>
      </c>
      <c r="G227" s="43">
        <f t="shared" si="30"/>
        <v>196</v>
      </c>
      <c r="H227" s="42">
        <f t="shared" si="31"/>
        <v>250.15</v>
      </c>
      <c r="I227" s="42">
        <f t="shared" si="32"/>
        <v>250.15</v>
      </c>
      <c r="J227"/>
      <c r="K227" s="52">
        <v>1</v>
      </c>
      <c r="L227" s="52">
        <v>196</v>
      </c>
      <c r="M227" s="92"/>
      <c r="N227" s="92"/>
      <c r="O227" s="108"/>
      <c r="P227" s="108"/>
      <c r="Q227" s="108"/>
      <c r="R227" s="109"/>
      <c r="S227" s="110"/>
      <c r="T227" s="108"/>
    </row>
    <row r="228" spans="1:20" s="111" customFormat="1" ht="22.5">
      <c r="A228" s="42" t="s">
        <v>425</v>
      </c>
      <c r="B228" s="40">
        <v>86906</v>
      </c>
      <c r="C228" s="40" t="s">
        <v>19</v>
      </c>
      <c r="D228" s="41" t="s">
        <v>426</v>
      </c>
      <c r="E228" s="42" t="s">
        <v>32</v>
      </c>
      <c r="F228" s="42">
        <f t="shared" si="33"/>
        <v>4</v>
      </c>
      <c r="G228" s="43">
        <f t="shared" si="30"/>
        <v>72.37</v>
      </c>
      <c r="H228" s="42">
        <f t="shared" si="31"/>
        <v>92.36</v>
      </c>
      <c r="I228" s="42">
        <f t="shared" si="32"/>
        <v>369.44</v>
      </c>
      <c r="J228"/>
      <c r="K228" s="51">
        <v>4</v>
      </c>
      <c r="L228" s="52">
        <v>72.37</v>
      </c>
      <c r="M228" s="92"/>
      <c r="N228" s="92"/>
      <c r="O228" s="108"/>
      <c r="P228" s="108"/>
      <c r="Q228" s="108"/>
      <c r="R228" s="109"/>
      <c r="S228" s="110"/>
      <c r="T228" s="108"/>
    </row>
    <row r="229" spans="1:20" s="111" customFormat="1" ht="22.5">
      <c r="A229" s="42" t="s">
        <v>427</v>
      </c>
      <c r="B229" s="40">
        <v>86909</v>
      </c>
      <c r="C229" s="40" t="s">
        <v>19</v>
      </c>
      <c r="D229" s="41" t="s">
        <v>428</v>
      </c>
      <c r="E229" s="42" t="s">
        <v>32</v>
      </c>
      <c r="F229" s="42">
        <f t="shared" si="33"/>
        <v>1</v>
      </c>
      <c r="G229" s="43">
        <f t="shared" si="30"/>
        <v>125.67</v>
      </c>
      <c r="H229" s="42">
        <f t="shared" si="31"/>
        <v>160.38999999999999</v>
      </c>
      <c r="I229" s="42">
        <f t="shared" si="32"/>
        <v>160.38999999999999</v>
      </c>
      <c r="J229"/>
      <c r="K229" s="51">
        <v>1</v>
      </c>
      <c r="L229" s="52">
        <v>125.67</v>
      </c>
      <c r="M229" s="92"/>
      <c r="N229" s="92"/>
      <c r="O229" s="108"/>
      <c r="P229" s="108"/>
      <c r="Q229" s="108"/>
      <c r="R229" s="109"/>
      <c r="S229" s="110"/>
      <c r="T229" s="108"/>
    </row>
    <row r="230" spans="1:20" s="111" customFormat="1" ht="22.5">
      <c r="A230" s="42" t="s">
        <v>429</v>
      </c>
      <c r="B230" s="40">
        <v>86900</v>
      </c>
      <c r="C230" s="40" t="s">
        <v>19</v>
      </c>
      <c r="D230" s="41" t="s">
        <v>430</v>
      </c>
      <c r="E230" s="42" t="s">
        <v>32</v>
      </c>
      <c r="F230" s="42">
        <f t="shared" si="33"/>
        <v>1</v>
      </c>
      <c r="G230" s="43">
        <f t="shared" si="30"/>
        <v>248.22</v>
      </c>
      <c r="H230" s="42">
        <f t="shared" si="31"/>
        <v>316.8</v>
      </c>
      <c r="I230" s="42">
        <f t="shared" si="32"/>
        <v>316.8</v>
      </c>
      <c r="J230"/>
      <c r="K230" s="51">
        <v>1</v>
      </c>
      <c r="L230" s="52">
        <v>248.22</v>
      </c>
      <c r="M230" s="92"/>
      <c r="N230" s="92"/>
      <c r="O230" s="108"/>
      <c r="P230" s="108"/>
      <c r="Q230" s="108"/>
      <c r="R230" s="109"/>
      <c r="S230" s="110"/>
      <c r="T230" s="108"/>
    </row>
    <row r="231" spans="1:20" s="111" customFormat="1" ht="22.5">
      <c r="A231" s="42" t="s">
        <v>431</v>
      </c>
      <c r="B231" s="40">
        <v>86914</v>
      </c>
      <c r="C231" s="40" t="s">
        <v>19</v>
      </c>
      <c r="D231" s="41" t="s">
        <v>432</v>
      </c>
      <c r="E231" s="42" t="s">
        <v>32</v>
      </c>
      <c r="F231" s="42">
        <f t="shared" si="33"/>
        <v>1</v>
      </c>
      <c r="G231" s="43">
        <f t="shared" si="30"/>
        <v>94.93</v>
      </c>
      <c r="H231" s="42">
        <f t="shared" si="31"/>
        <v>121.15</v>
      </c>
      <c r="I231" s="42">
        <f t="shared" si="32"/>
        <v>121.15</v>
      </c>
      <c r="J231"/>
      <c r="K231" s="51">
        <v>1</v>
      </c>
      <c r="L231" s="52">
        <v>94.93</v>
      </c>
      <c r="M231" s="92"/>
      <c r="N231" s="92"/>
      <c r="O231" s="108"/>
      <c r="P231" s="108"/>
      <c r="Q231" s="108"/>
      <c r="R231" s="109"/>
      <c r="S231" s="110"/>
      <c r="T231" s="108"/>
    </row>
    <row r="232" spans="1:20" s="111" customFormat="1" ht="22.5">
      <c r="A232" s="42" t="s">
        <v>433</v>
      </c>
      <c r="B232" s="40">
        <v>99635</v>
      </c>
      <c r="C232" s="40" t="s">
        <v>19</v>
      </c>
      <c r="D232" s="41" t="s">
        <v>434</v>
      </c>
      <c r="E232" s="42" t="s">
        <v>32</v>
      </c>
      <c r="F232" s="42">
        <f t="shared" si="33"/>
        <v>4</v>
      </c>
      <c r="G232" s="43">
        <f t="shared" si="30"/>
        <v>187.35</v>
      </c>
      <c r="H232" s="42">
        <f t="shared" si="31"/>
        <v>239.11</v>
      </c>
      <c r="I232" s="42">
        <f t="shared" si="32"/>
        <v>956.44</v>
      </c>
      <c r="J232"/>
      <c r="K232" s="51">
        <v>4</v>
      </c>
      <c r="L232" s="52">
        <v>187.35</v>
      </c>
      <c r="M232" s="92"/>
      <c r="N232" s="92"/>
      <c r="O232" s="108"/>
      <c r="P232" s="108"/>
      <c r="Q232" s="108"/>
      <c r="R232" s="109"/>
      <c r="S232" s="110"/>
      <c r="T232" s="108"/>
    </row>
    <row r="233" spans="1:20" s="111" customFormat="1" ht="33.75">
      <c r="A233" s="42" t="s">
        <v>435</v>
      </c>
      <c r="B233" s="40">
        <v>89596</v>
      </c>
      <c r="C233" s="40" t="s">
        <v>19</v>
      </c>
      <c r="D233" s="41" t="s">
        <v>436</v>
      </c>
      <c r="E233" s="42" t="s">
        <v>32</v>
      </c>
      <c r="F233" s="42">
        <f t="shared" si="33"/>
        <v>8</v>
      </c>
      <c r="G233" s="43">
        <f t="shared" si="30"/>
        <v>10.98</v>
      </c>
      <c r="H233" s="42">
        <f t="shared" si="31"/>
        <v>14.01</v>
      </c>
      <c r="I233" s="42">
        <f t="shared" si="32"/>
        <v>112.08</v>
      </c>
      <c r="J233"/>
      <c r="K233" s="51">
        <v>8</v>
      </c>
      <c r="L233" s="52">
        <v>10.98</v>
      </c>
      <c r="M233" s="92"/>
      <c r="N233" s="92"/>
      <c r="O233" s="108"/>
      <c r="P233" s="108"/>
      <c r="Q233" s="108"/>
      <c r="R233" s="109"/>
      <c r="S233" s="110"/>
      <c r="T233" s="108"/>
    </row>
    <row r="234" spans="1:20" s="111" customFormat="1" ht="33.75">
      <c r="A234" s="42" t="s">
        <v>437</v>
      </c>
      <c r="B234" s="40">
        <v>96662</v>
      </c>
      <c r="C234" s="40" t="s">
        <v>19</v>
      </c>
      <c r="D234" s="41" t="s">
        <v>438</v>
      </c>
      <c r="E234" s="42" t="s">
        <v>32</v>
      </c>
      <c r="F234" s="42">
        <f t="shared" si="33"/>
        <v>16</v>
      </c>
      <c r="G234" s="43">
        <f t="shared" si="30"/>
        <v>12.27</v>
      </c>
      <c r="H234" s="42">
        <f t="shared" si="31"/>
        <v>15.66</v>
      </c>
      <c r="I234" s="42">
        <f t="shared" si="32"/>
        <v>250.56</v>
      </c>
      <c r="J234"/>
      <c r="K234" s="51">
        <v>16</v>
      </c>
      <c r="L234" s="52">
        <v>12.27</v>
      </c>
      <c r="M234" s="92"/>
      <c r="N234" s="92"/>
      <c r="O234" s="108"/>
      <c r="P234" s="108"/>
      <c r="Q234" s="108"/>
      <c r="R234" s="109"/>
      <c r="S234" s="110"/>
      <c r="T234" s="108"/>
    </row>
    <row r="235" spans="1:20" s="111" customFormat="1" ht="33.75">
      <c r="A235" s="42" t="s">
        <v>439</v>
      </c>
      <c r="B235" s="40">
        <v>90375</v>
      </c>
      <c r="C235" s="40" t="s">
        <v>19</v>
      </c>
      <c r="D235" s="41" t="s">
        <v>440</v>
      </c>
      <c r="E235" s="42" t="s">
        <v>32</v>
      </c>
      <c r="F235" s="42">
        <f t="shared" si="33"/>
        <v>1</v>
      </c>
      <c r="G235" s="43">
        <f t="shared" si="30"/>
        <v>8.5399999999999991</v>
      </c>
      <c r="H235" s="42">
        <f t="shared" si="31"/>
        <v>10.89</v>
      </c>
      <c r="I235" s="42">
        <f t="shared" si="32"/>
        <v>10.89</v>
      </c>
      <c r="J235"/>
      <c r="K235" s="51">
        <v>1</v>
      </c>
      <c r="L235" s="52">
        <v>8.5399999999999991</v>
      </c>
      <c r="M235" s="92"/>
      <c r="N235" s="92"/>
      <c r="O235" s="108"/>
      <c r="P235" s="108"/>
      <c r="Q235" s="108"/>
      <c r="R235" s="109"/>
      <c r="S235" s="110"/>
      <c r="T235" s="108"/>
    </row>
    <row r="236" spans="1:20" s="111" customFormat="1" ht="22.5">
      <c r="A236" s="42" t="s">
        <v>441</v>
      </c>
      <c r="B236" s="40">
        <v>89363</v>
      </c>
      <c r="C236" s="40" t="s">
        <v>19</v>
      </c>
      <c r="D236" s="41" t="s">
        <v>442</v>
      </c>
      <c r="E236" s="42" t="s">
        <v>32</v>
      </c>
      <c r="F236" s="42">
        <f t="shared" si="33"/>
        <v>2</v>
      </c>
      <c r="G236" s="43">
        <f t="shared" si="30"/>
        <v>8.82</v>
      </c>
      <c r="H236" s="42">
        <f t="shared" si="31"/>
        <v>11.25</v>
      </c>
      <c r="I236" s="42">
        <f t="shared" si="32"/>
        <v>22.5</v>
      </c>
      <c r="J236"/>
      <c r="K236" s="51">
        <v>2</v>
      </c>
      <c r="L236" s="52">
        <v>8.82</v>
      </c>
      <c r="M236" s="92"/>
      <c r="N236" s="92"/>
      <c r="O236" s="108"/>
      <c r="P236" s="108"/>
      <c r="Q236" s="108"/>
      <c r="R236" s="109"/>
      <c r="S236" s="110"/>
      <c r="T236" s="108"/>
    </row>
    <row r="237" spans="1:20" s="111" customFormat="1" ht="33.75">
      <c r="A237" s="42" t="s">
        <v>443</v>
      </c>
      <c r="B237" s="40">
        <v>89414</v>
      </c>
      <c r="C237" s="40" t="s">
        <v>19</v>
      </c>
      <c r="D237" s="41" t="s">
        <v>444</v>
      </c>
      <c r="E237" s="42" t="s">
        <v>32</v>
      </c>
      <c r="F237" s="42">
        <f t="shared" si="33"/>
        <v>1</v>
      </c>
      <c r="G237" s="43">
        <f t="shared" si="30"/>
        <v>13.39</v>
      </c>
      <c r="H237" s="42">
        <f t="shared" si="31"/>
        <v>17.079999999999998</v>
      </c>
      <c r="I237" s="42">
        <f t="shared" si="32"/>
        <v>17.079999999999998</v>
      </c>
      <c r="J237"/>
      <c r="K237" s="51">
        <v>1</v>
      </c>
      <c r="L237" s="52">
        <v>13.39</v>
      </c>
      <c r="M237" s="92"/>
      <c r="N237" s="92"/>
      <c r="O237" s="108"/>
      <c r="P237" s="108"/>
      <c r="Q237" s="108"/>
      <c r="R237" s="109"/>
      <c r="S237" s="110"/>
      <c r="T237" s="108"/>
    </row>
    <row r="238" spans="1:20" s="111" customFormat="1" ht="22.5">
      <c r="A238" s="42" t="s">
        <v>445</v>
      </c>
      <c r="B238" s="40">
        <v>89502</v>
      </c>
      <c r="C238" s="40" t="s">
        <v>19</v>
      </c>
      <c r="D238" s="41" t="s">
        <v>446</v>
      </c>
      <c r="E238" s="42" t="s">
        <v>32</v>
      </c>
      <c r="F238" s="42">
        <f t="shared" si="33"/>
        <v>1</v>
      </c>
      <c r="G238" s="43">
        <f t="shared" si="30"/>
        <v>17.62</v>
      </c>
      <c r="H238" s="42">
        <f t="shared" si="31"/>
        <v>22.48</v>
      </c>
      <c r="I238" s="42">
        <f t="shared" si="32"/>
        <v>22.48</v>
      </c>
      <c r="J238"/>
      <c r="K238" s="51">
        <v>1</v>
      </c>
      <c r="L238" s="52">
        <v>17.62</v>
      </c>
      <c r="M238" s="92"/>
      <c r="N238" s="92"/>
      <c r="O238" s="108"/>
      <c r="P238" s="108"/>
      <c r="Q238" s="108"/>
      <c r="R238" s="109"/>
      <c r="S238" s="110"/>
      <c r="T238" s="108"/>
    </row>
    <row r="239" spans="1:20" s="111" customFormat="1" ht="22.5">
      <c r="A239" s="42" t="s">
        <v>447</v>
      </c>
      <c r="B239" s="40">
        <v>89363</v>
      </c>
      <c r="C239" s="40" t="s">
        <v>19</v>
      </c>
      <c r="D239" s="41" t="s">
        <v>442</v>
      </c>
      <c r="E239" s="42" t="s">
        <v>32</v>
      </c>
      <c r="F239" s="42">
        <f t="shared" si="33"/>
        <v>22</v>
      </c>
      <c r="G239" s="43">
        <f t="shared" si="30"/>
        <v>8.82</v>
      </c>
      <c r="H239" s="42">
        <f t="shared" si="31"/>
        <v>11.25</v>
      </c>
      <c r="I239" s="42">
        <f t="shared" si="32"/>
        <v>247.5</v>
      </c>
      <c r="J239"/>
      <c r="K239" s="51">
        <v>22</v>
      </c>
      <c r="L239" s="52">
        <v>8.82</v>
      </c>
      <c r="M239" s="92"/>
      <c r="N239" s="92"/>
      <c r="O239" s="108"/>
      <c r="P239" s="108"/>
      <c r="Q239" s="108"/>
      <c r="R239" s="109"/>
      <c r="S239" s="110"/>
      <c r="T239" s="108"/>
    </row>
    <row r="240" spans="1:20" s="111" customFormat="1" ht="33.75">
      <c r="A240" s="42" t="s">
        <v>448</v>
      </c>
      <c r="B240" s="40">
        <v>89413</v>
      </c>
      <c r="C240" s="40" t="s">
        <v>19</v>
      </c>
      <c r="D240" s="41" t="s">
        <v>449</v>
      </c>
      <c r="E240" s="42" t="s">
        <v>32</v>
      </c>
      <c r="F240" s="42">
        <f t="shared" si="33"/>
        <v>3</v>
      </c>
      <c r="G240" s="43">
        <f t="shared" si="30"/>
        <v>10.54</v>
      </c>
      <c r="H240" s="42">
        <f t="shared" si="31"/>
        <v>13.45</v>
      </c>
      <c r="I240" s="42">
        <f t="shared" si="32"/>
        <v>40.35</v>
      </c>
      <c r="J240"/>
      <c r="K240" s="51">
        <v>3</v>
      </c>
      <c r="L240" s="52">
        <v>10.54</v>
      </c>
      <c r="M240" s="92"/>
      <c r="N240" s="92"/>
      <c r="O240" s="108"/>
      <c r="P240" s="108"/>
      <c r="Q240" s="108"/>
      <c r="R240" s="109"/>
      <c r="S240" s="110"/>
      <c r="T240" s="108"/>
    </row>
    <row r="241" spans="1:20" s="111" customFormat="1" ht="22.5">
      <c r="A241" s="42" t="s">
        <v>450</v>
      </c>
      <c r="B241" s="40">
        <v>89501</v>
      </c>
      <c r="C241" s="40" t="s">
        <v>19</v>
      </c>
      <c r="D241" s="41" t="s">
        <v>451</v>
      </c>
      <c r="E241" s="42" t="s">
        <v>32</v>
      </c>
      <c r="F241" s="42">
        <f t="shared" si="33"/>
        <v>11</v>
      </c>
      <c r="G241" s="43">
        <f t="shared" si="30"/>
        <v>15.27</v>
      </c>
      <c r="H241" s="42">
        <f t="shared" si="31"/>
        <v>19.48</v>
      </c>
      <c r="I241" s="42">
        <f t="shared" si="32"/>
        <v>214.28</v>
      </c>
      <c r="J241"/>
      <c r="K241" s="51">
        <v>11</v>
      </c>
      <c r="L241" s="52">
        <v>15.27</v>
      </c>
      <c r="M241" s="92"/>
      <c r="N241" s="92"/>
      <c r="O241" s="108"/>
      <c r="P241" s="108"/>
      <c r="Q241" s="108"/>
      <c r="R241" s="109"/>
      <c r="S241" s="110"/>
      <c r="T241" s="108"/>
    </row>
    <row r="242" spans="1:20" s="111" customFormat="1" ht="45">
      <c r="A242" s="42" t="s">
        <v>452</v>
      </c>
      <c r="B242" s="40">
        <v>94672</v>
      </c>
      <c r="C242" s="40" t="s">
        <v>19</v>
      </c>
      <c r="D242" s="41" t="s">
        <v>453</v>
      </c>
      <c r="E242" s="42" t="s">
        <v>32</v>
      </c>
      <c r="F242" s="42">
        <f t="shared" si="33"/>
        <v>6</v>
      </c>
      <c r="G242" s="43">
        <f t="shared" si="30"/>
        <v>10.67</v>
      </c>
      <c r="H242" s="42">
        <f t="shared" si="31"/>
        <v>13.61</v>
      </c>
      <c r="I242" s="42">
        <f t="shared" si="32"/>
        <v>81.66</v>
      </c>
      <c r="J242"/>
      <c r="K242" s="51">
        <v>6</v>
      </c>
      <c r="L242" s="52">
        <v>10.67</v>
      </c>
      <c r="M242" s="92"/>
      <c r="N242" s="92"/>
      <c r="O242" s="108"/>
      <c r="P242" s="108"/>
      <c r="Q242" s="108"/>
      <c r="R242" s="109"/>
      <c r="S242" s="110"/>
      <c r="T242" s="108"/>
    </row>
    <row r="243" spans="1:20" s="111" customFormat="1" ht="33.75">
      <c r="A243" s="42" t="s">
        <v>454</v>
      </c>
      <c r="B243" s="40">
        <v>89374</v>
      </c>
      <c r="C243" s="40" t="s">
        <v>19</v>
      </c>
      <c r="D243" s="41" t="s">
        <v>455</v>
      </c>
      <c r="E243" s="42" t="s">
        <v>32</v>
      </c>
      <c r="F243" s="42">
        <f t="shared" si="33"/>
        <v>8</v>
      </c>
      <c r="G243" s="43">
        <f t="shared" si="30"/>
        <v>10.67</v>
      </c>
      <c r="H243" s="42">
        <f t="shared" si="31"/>
        <v>13.61</v>
      </c>
      <c r="I243" s="42">
        <f t="shared" si="32"/>
        <v>108.88</v>
      </c>
      <c r="J243"/>
      <c r="K243" s="51">
        <v>8</v>
      </c>
      <c r="L243" s="52">
        <v>10.67</v>
      </c>
      <c r="N243" s="92"/>
      <c r="O243" s="108"/>
      <c r="P243" s="108"/>
      <c r="Q243" s="108"/>
      <c r="R243" s="109"/>
      <c r="S243" s="110"/>
      <c r="T243" s="108"/>
    </row>
    <row r="244" spans="1:20" s="111" customFormat="1" ht="22.5">
      <c r="A244" s="42" t="s">
        <v>456</v>
      </c>
      <c r="B244" s="40">
        <v>89627</v>
      </c>
      <c r="C244" s="40" t="s">
        <v>19</v>
      </c>
      <c r="D244" s="41" t="s">
        <v>457</v>
      </c>
      <c r="E244" s="42" t="s">
        <v>32</v>
      </c>
      <c r="F244" s="42">
        <f t="shared" si="33"/>
        <v>2</v>
      </c>
      <c r="G244" s="43">
        <f t="shared" si="30"/>
        <v>20.010000000000002</v>
      </c>
      <c r="H244" s="42">
        <f t="shared" si="31"/>
        <v>25.53</v>
      </c>
      <c r="I244" s="42">
        <f t="shared" si="32"/>
        <v>51.06</v>
      </c>
      <c r="J244"/>
      <c r="K244" s="51">
        <v>2</v>
      </c>
      <c r="L244" s="52">
        <v>20.010000000000002</v>
      </c>
      <c r="M244" s="92"/>
      <c r="N244" s="92"/>
      <c r="O244" s="108"/>
      <c r="P244" s="108"/>
      <c r="Q244" s="108"/>
      <c r="R244" s="109"/>
      <c r="S244" s="110"/>
      <c r="T244" s="108"/>
    </row>
    <row r="245" spans="1:20" s="111" customFormat="1" ht="33.75">
      <c r="A245" s="42" t="s">
        <v>458</v>
      </c>
      <c r="B245" s="40">
        <v>94696</v>
      </c>
      <c r="C245" s="40" t="s">
        <v>19</v>
      </c>
      <c r="D245" s="41" t="s">
        <v>459</v>
      </c>
      <c r="E245" s="42" t="s">
        <v>32</v>
      </c>
      <c r="F245" s="42">
        <f t="shared" si="33"/>
        <v>3</v>
      </c>
      <c r="G245" s="43">
        <f t="shared" si="30"/>
        <v>64.64</v>
      </c>
      <c r="H245" s="42">
        <f t="shared" si="31"/>
        <v>82.5</v>
      </c>
      <c r="I245" s="42">
        <f t="shared" si="32"/>
        <v>247.5</v>
      </c>
      <c r="J245"/>
      <c r="K245" s="51">
        <v>3</v>
      </c>
      <c r="L245" s="52">
        <v>64.64</v>
      </c>
      <c r="M245" s="92"/>
      <c r="N245" s="92"/>
      <c r="O245" s="108"/>
      <c r="P245" s="108"/>
      <c r="Q245" s="108"/>
      <c r="R245" s="109"/>
      <c r="S245" s="110"/>
      <c r="T245" s="108"/>
    </row>
    <row r="246" spans="1:20" s="111" customFormat="1" ht="22.5">
      <c r="A246" s="42" t="s">
        <v>460</v>
      </c>
      <c r="B246" s="40">
        <v>89605</v>
      </c>
      <c r="C246" s="40" t="s">
        <v>19</v>
      </c>
      <c r="D246" s="41" t="s">
        <v>461</v>
      </c>
      <c r="E246" s="42" t="s">
        <v>32</v>
      </c>
      <c r="F246" s="42">
        <f t="shared" si="33"/>
        <v>2</v>
      </c>
      <c r="G246" s="43">
        <f t="shared" si="30"/>
        <v>22.38</v>
      </c>
      <c r="H246" s="42">
        <f t="shared" si="31"/>
        <v>28.56</v>
      </c>
      <c r="I246" s="42">
        <f t="shared" si="32"/>
        <v>57.12</v>
      </c>
      <c r="J246"/>
      <c r="K246" s="51">
        <v>2</v>
      </c>
      <c r="L246" s="52">
        <v>22.38</v>
      </c>
      <c r="M246" s="92"/>
      <c r="N246" s="92"/>
      <c r="O246" s="108"/>
      <c r="P246" s="108"/>
      <c r="Q246" s="108"/>
      <c r="R246" s="109"/>
      <c r="S246" s="110"/>
      <c r="T246" s="108"/>
    </row>
    <row r="247" spans="1:20" s="111" customFormat="1" ht="22.5">
      <c r="A247" s="42" t="s">
        <v>462</v>
      </c>
      <c r="B247" s="40">
        <v>89579</v>
      </c>
      <c r="C247" s="40" t="s">
        <v>19</v>
      </c>
      <c r="D247" s="41" t="s">
        <v>463</v>
      </c>
      <c r="E247" s="42" t="s">
        <v>32</v>
      </c>
      <c r="F247" s="42">
        <f t="shared" si="33"/>
        <v>2</v>
      </c>
      <c r="G247" s="43">
        <f t="shared" si="30"/>
        <v>11.07</v>
      </c>
      <c r="H247" s="42">
        <f t="shared" si="31"/>
        <v>14.12</v>
      </c>
      <c r="I247" s="42">
        <f t="shared" si="32"/>
        <v>28.24</v>
      </c>
      <c r="J247"/>
      <c r="K247" s="51">
        <v>2</v>
      </c>
      <c r="L247" s="52">
        <v>11.07</v>
      </c>
      <c r="M247" s="92"/>
      <c r="N247" s="92"/>
      <c r="O247" s="108"/>
      <c r="P247" s="108"/>
      <c r="Q247" s="108"/>
      <c r="R247" s="109"/>
      <c r="S247" s="110"/>
      <c r="T247" s="108"/>
    </row>
    <row r="248" spans="1:20" s="111" customFormat="1" ht="33.75">
      <c r="A248" s="42" t="s">
        <v>464</v>
      </c>
      <c r="B248" s="40">
        <v>94690</v>
      </c>
      <c r="C248" s="40" t="s">
        <v>19</v>
      </c>
      <c r="D248" s="41" t="s">
        <v>465</v>
      </c>
      <c r="E248" s="42" t="s">
        <v>32</v>
      </c>
      <c r="F248" s="42">
        <f t="shared" si="33"/>
        <v>2</v>
      </c>
      <c r="G248" s="43">
        <f t="shared" si="30"/>
        <v>14.03</v>
      </c>
      <c r="H248" s="42">
        <f t="shared" si="31"/>
        <v>17.899999999999999</v>
      </c>
      <c r="I248" s="42">
        <f t="shared" si="32"/>
        <v>35.799999999999997</v>
      </c>
      <c r="J248"/>
      <c r="K248" s="51">
        <v>2</v>
      </c>
      <c r="L248" s="52">
        <v>14.03</v>
      </c>
      <c r="M248" s="92"/>
      <c r="N248" s="92"/>
      <c r="O248" s="108"/>
      <c r="P248" s="108"/>
      <c r="Q248" s="108"/>
      <c r="R248" s="109"/>
      <c r="S248" s="110"/>
      <c r="T248" s="108"/>
    </row>
    <row r="249" spans="1:20" s="111" customFormat="1" ht="33.75">
      <c r="A249" s="42" t="s">
        <v>466</v>
      </c>
      <c r="B249" s="40">
        <v>94688</v>
      </c>
      <c r="C249" s="40" t="s">
        <v>19</v>
      </c>
      <c r="D249" s="41" t="s">
        <v>467</v>
      </c>
      <c r="E249" s="42" t="s">
        <v>32</v>
      </c>
      <c r="F249" s="42">
        <f t="shared" si="33"/>
        <v>2</v>
      </c>
      <c r="G249" s="43">
        <f t="shared" si="30"/>
        <v>10.19</v>
      </c>
      <c r="H249" s="42">
        <f t="shared" si="31"/>
        <v>13</v>
      </c>
      <c r="I249" s="42">
        <f t="shared" si="32"/>
        <v>26</v>
      </c>
      <c r="J249"/>
      <c r="K249" s="51">
        <v>2</v>
      </c>
      <c r="L249" s="52">
        <v>10.19</v>
      </c>
      <c r="M249" s="92"/>
      <c r="N249" s="92"/>
      <c r="O249" s="108"/>
      <c r="P249" s="108"/>
      <c r="Q249" s="108"/>
      <c r="R249" s="109"/>
      <c r="S249" s="110"/>
      <c r="T249" s="108"/>
    </row>
    <row r="250" spans="1:20" s="111" customFormat="1" ht="22.5">
      <c r="A250" s="42" t="s">
        <v>468</v>
      </c>
      <c r="B250" s="40">
        <v>89626</v>
      </c>
      <c r="C250" s="40" t="s">
        <v>19</v>
      </c>
      <c r="D250" s="41" t="s">
        <v>469</v>
      </c>
      <c r="E250" s="42" t="s">
        <v>32</v>
      </c>
      <c r="F250" s="42">
        <f t="shared" si="33"/>
        <v>3</v>
      </c>
      <c r="G250" s="43">
        <f t="shared" si="30"/>
        <v>33.380000000000003</v>
      </c>
      <c r="H250" s="42">
        <f t="shared" si="31"/>
        <v>42.6</v>
      </c>
      <c r="I250" s="42">
        <f t="shared" si="32"/>
        <v>127.8</v>
      </c>
      <c r="J250"/>
      <c r="K250" s="51">
        <v>3</v>
      </c>
      <c r="L250" s="52">
        <v>33.380000000000003</v>
      </c>
      <c r="M250" s="92"/>
      <c r="N250" s="92"/>
      <c r="O250" s="108"/>
      <c r="P250" s="108"/>
      <c r="Q250" s="108"/>
      <c r="R250" s="109"/>
      <c r="S250" s="110"/>
      <c r="T250" s="108"/>
    </row>
    <row r="251" spans="1:20" s="111" customFormat="1" ht="33.75">
      <c r="A251" s="42" t="s">
        <v>470</v>
      </c>
      <c r="B251" s="40">
        <v>89984</v>
      </c>
      <c r="C251" s="40" t="s">
        <v>19</v>
      </c>
      <c r="D251" s="41" t="s">
        <v>471</v>
      </c>
      <c r="E251" s="42" t="s">
        <v>32</v>
      </c>
      <c r="F251" s="42">
        <f t="shared" si="33"/>
        <v>2</v>
      </c>
      <c r="G251" s="43">
        <f t="shared" si="30"/>
        <v>66.7</v>
      </c>
      <c r="H251" s="42">
        <f t="shared" si="31"/>
        <v>85.12</v>
      </c>
      <c r="I251" s="42">
        <f t="shared" si="32"/>
        <v>170.24</v>
      </c>
      <c r="J251"/>
      <c r="K251" s="51">
        <v>2</v>
      </c>
      <c r="L251" s="52">
        <v>66.7</v>
      </c>
      <c r="M251" s="92"/>
      <c r="N251" s="92"/>
      <c r="O251" s="108"/>
      <c r="P251" s="108"/>
      <c r="Q251" s="108"/>
      <c r="R251" s="109"/>
      <c r="S251" s="110"/>
      <c r="T251" s="108"/>
    </row>
    <row r="252" spans="1:20" s="111" customFormat="1" ht="45">
      <c r="A252" s="42" t="s">
        <v>472</v>
      </c>
      <c r="B252" s="40">
        <v>94703</v>
      </c>
      <c r="C252" s="40" t="s">
        <v>19</v>
      </c>
      <c r="D252" s="41" t="s">
        <v>473</v>
      </c>
      <c r="E252" s="42" t="s">
        <v>32</v>
      </c>
      <c r="F252" s="42">
        <f t="shared" si="33"/>
        <v>2</v>
      </c>
      <c r="G252" s="43">
        <f t="shared" si="30"/>
        <v>21.86</v>
      </c>
      <c r="H252" s="42">
        <f t="shared" si="31"/>
        <v>27.89</v>
      </c>
      <c r="I252" s="42">
        <f t="shared" si="32"/>
        <v>55.78</v>
      </c>
      <c r="J252"/>
      <c r="K252" s="51">
        <v>2</v>
      </c>
      <c r="L252" s="52">
        <v>21.86</v>
      </c>
      <c r="M252" s="92"/>
      <c r="N252" s="92"/>
      <c r="O252" s="108"/>
      <c r="P252" s="108"/>
      <c r="Q252" s="108"/>
      <c r="R252" s="109"/>
      <c r="S252" s="110"/>
      <c r="T252" s="108"/>
    </row>
    <row r="253" spans="1:20" s="111" customFormat="1" ht="45">
      <c r="A253" s="42" t="s">
        <v>474</v>
      </c>
      <c r="B253" s="40">
        <v>94707</v>
      </c>
      <c r="C253" s="40" t="s">
        <v>19</v>
      </c>
      <c r="D253" s="41" t="s">
        <v>475</v>
      </c>
      <c r="E253" s="42" t="s">
        <v>32</v>
      </c>
      <c r="F253" s="42">
        <f t="shared" si="33"/>
        <v>2</v>
      </c>
      <c r="G253" s="43">
        <f t="shared" si="30"/>
        <v>59.8</v>
      </c>
      <c r="H253" s="42">
        <f t="shared" si="31"/>
        <v>76.319999999999993</v>
      </c>
      <c r="I253" s="42">
        <f t="shared" si="32"/>
        <v>152.63999999999999</v>
      </c>
      <c r="J253"/>
      <c r="K253" s="51">
        <v>2</v>
      </c>
      <c r="L253" s="52">
        <v>59.8</v>
      </c>
      <c r="M253" s="92"/>
      <c r="N253" s="92"/>
      <c r="O253" s="108"/>
      <c r="P253" s="108"/>
      <c r="Q253" s="108"/>
      <c r="R253" s="109"/>
      <c r="S253" s="110"/>
      <c r="T253" s="108"/>
    </row>
    <row r="254" spans="1:20" s="111" customFormat="1" ht="45">
      <c r="A254" s="42" t="s">
        <v>476</v>
      </c>
      <c r="B254" s="40">
        <v>94704</v>
      </c>
      <c r="C254" s="40" t="s">
        <v>19</v>
      </c>
      <c r="D254" s="41" t="s">
        <v>477</v>
      </c>
      <c r="E254" s="42" t="s">
        <v>32</v>
      </c>
      <c r="F254" s="42">
        <f t="shared" si="33"/>
        <v>6</v>
      </c>
      <c r="G254" s="43">
        <f t="shared" si="30"/>
        <v>26.28</v>
      </c>
      <c r="H254" s="42">
        <f t="shared" si="31"/>
        <v>33.54</v>
      </c>
      <c r="I254" s="42">
        <f t="shared" si="32"/>
        <v>201.24</v>
      </c>
      <c r="J254"/>
      <c r="K254" s="51">
        <v>6</v>
      </c>
      <c r="L254" s="52">
        <v>26.28</v>
      </c>
      <c r="M254" s="92"/>
      <c r="N254" s="92"/>
      <c r="O254" s="108"/>
      <c r="P254" s="108"/>
      <c r="Q254" s="108"/>
      <c r="R254" s="109"/>
      <c r="S254" s="110"/>
      <c r="T254" s="108"/>
    </row>
    <row r="255" spans="1:20" s="111" customFormat="1" ht="33.75">
      <c r="A255" s="42" t="s">
        <v>478</v>
      </c>
      <c r="B255" s="40">
        <v>89987</v>
      </c>
      <c r="C255" s="40" t="s">
        <v>19</v>
      </c>
      <c r="D255" s="41" t="s">
        <v>479</v>
      </c>
      <c r="E255" s="42" t="s">
        <v>32</v>
      </c>
      <c r="F255" s="42">
        <f t="shared" si="33"/>
        <v>6</v>
      </c>
      <c r="G255" s="43">
        <f t="shared" si="30"/>
        <v>73.89</v>
      </c>
      <c r="H255" s="42">
        <f t="shared" si="31"/>
        <v>94.3</v>
      </c>
      <c r="I255" s="42">
        <f t="shared" si="32"/>
        <v>565.79999999999995</v>
      </c>
      <c r="J255"/>
      <c r="K255" s="51">
        <v>6</v>
      </c>
      <c r="L255" s="52">
        <v>73.89</v>
      </c>
      <c r="M255" s="92"/>
      <c r="N255" s="92"/>
      <c r="O255" s="108"/>
      <c r="P255" s="108"/>
      <c r="Q255" s="108"/>
      <c r="R255" s="109"/>
      <c r="S255" s="110"/>
      <c r="T255" s="108"/>
    </row>
    <row r="256" spans="1:20" s="111" customFormat="1" ht="22.5">
      <c r="A256" s="42" t="s">
        <v>480</v>
      </c>
      <c r="B256" s="40" t="s">
        <v>481</v>
      </c>
      <c r="C256" s="40" t="s">
        <v>19</v>
      </c>
      <c r="D256" s="41" t="s">
        <v>482</v>
      </c>
      <c r="E256" s="42" t="s">
        <v>113</v>
      </c>
      <c r="F256" s="42">
        <f t="shared" si="33"/>
        <v>27.1</v>
      </c>
      <c r="G256" s="43">
        <f t="shared" si="30"/>
        <v>19.190000000000001</v>
      </c>
      <c r="H256" s="42">
        <f t="shared" si="31"/>
        <v>24.49</v>
      </c>
      <c r="I256" s="42">
        <f t="shared" si="32"/>
        <v>663.67</v>
      </c>
      <c r="J256"/>
      <c r="K256" s="51">
        <v>27.1</v>
      </c>
      <c r="L256" s="52">
        <v>19.190000000000001</v>
      </c>
      <c r="M256" s="92"/>
      <c r="N256" s="92"/>
      <c r="O256" s="108"/>
      <c r="P256" s="108"/>
      <c r="Q256" s="108"/>
      <c r="R256" s="109"/>
      <c r="S256" s="110"/>
      <c r="T256" s="108"/>
    </row>
    <row r="257" spans="1:20" s="111" customFormat="1" ht="22.5">
      <c r="A257" s="42" t="s">
        <v>483</v>
      </c>
      <c r="B257" s="40">
        <v>89357</v>
      </c>
      <c r="C257" s="40" t="s">
        <v>19</v>
      </c>
      <c r="D257" s="41" t="s">
        <v>484</v>
      </c>
      <c r="E257" s="42" t="s">
        <v>113</v>
      </c>
      <c r="F257" s="42">
        <f t="shared" si="33"/>
        <v>46.01</v>
      </c>
      <c r="G257" s="43">
        <f t="shared" ref="G257:G288" si="34">L257</f>
        <v>28.32</v>
      </c>
      <c r="H257" s="42">
        <f t="shared" ref="H257:H288" si="35">TRUNC(L257*L$12,2)</f>
        <v>36.14</v>
      </c>
      <c r="I257" s="42">
        <f t="shared" ref="I257:I288" si="36">TRUNC(F257*H257,2)</f>
        <v>1662.8</v>
      </c>
      <c r="J257"/>
      <c r="K257" s="51">
        <v>46.01</v>
      </c>
      <c r="L257" s="52">
        <v>28.32</v>
      </c>
      <c r="M257" s="92"/>
      <c r="N257" s="92"/>
      <c r="O257" s="108"/>
      <c r="P257" s="108"/>
      <c r="Q257" s="108"/>
      <c r="R257" s="109"/>
      <c r="S257" s="110"/>
      <c r="T257" s="108"/>
    </row>
    <row r="258" spans="1:20" s="111" customFormat="1" ht="22.5">
      <c r="A258" s="42" t="s">
        <v>485</v>
      </c>
      <c r="B258" s="40">
        <v>89449</v>
      </c>
      <c r="C258" s="40" t="s">
        <v>19</v>
      </c>
      <c r="D258" s="41" t="s">
        <v>486</v>
      </c>
      <c r="E258" s="42" t="s">
        <v>113</v>
      </c>
      <c r="F258" s="42">
        <f t="shared" ref="F258:F288" si="37">TRUNC(K258,2)</f>
        <v>17.39</v>
      </c>
      <c r="G258" s="43">
        <f t="shared" si="34"/>
        <v>20.62</v>
      </c>
      <c r="H258" s="42">
        <f t="shared" si="35"/>
        <v>26.31</v>
      </c>
      <c r="I258" s="42">
        <f t="shared" si="36"/>
        <v>457.53</v>
      </c>
      <c r="J258"/>
      <c r="K258" s="51">
        <v>17.39</v>
      </c>
      <c r="L258" s="52">
        <v>20.62</v>
      </c>
      <c r="M258" s="92"/>
      <c r="N258" s="92"/>
      <c r="O258" s="108"/>
      <c r="P258" s="108"/>
      <c r="Q258" s="108"/>
      <c r="R258" s="109"/>
      <c r="S258" s="110"/>
      <c r="T258" s="108"/>
    </row>
    <row r="259" spans="1:20" s="111" customFormat="1" ht="22.5">
      <c r="A259" s="42" t="s">
        <v>487</v>
      </c>
      <c r="B259" s="40">
        <v>89450</v>
      </c>
      <c r="C259" s="40" t="s">
        <v>19</v>
      </c>
      <c r="D259" s="41" t="s">
        <v>488</v>
      </c>
      <c r="E259" s="42" t="s">
        <v>113</v>
      </c>
      <c r="F259" s="42">
        <f t="shared" si="37"/>
        <v>0</v>
      </c>
      <c r="G259" s="43">
        <f t="shared" si="34"/>
        <v>34.14</v>
      </c>
      <c r="H259" s="42">
        <f t="shared" si="35"/>
        <v>43.57</v>
      </c>
      <c r="I259" s="42">
        <f t="shared" si="36"/>
        <v>0</v>
      </c>
      <c r="J259"/>
      <c r="K259" s="51"/>
      <c r="L259" s="52">
        <v>34.14</v>
      </c>
      <c r="M259" s="92"/>
      <c r="N259" s="92"/>
      <c r="O259" s="108"/>
      <c r="P259" s="108"/>
      <c r="Q259" s="108"/>
      <c r="R259" s="109"/>
      <c r="S259" s="110"/>
      <c r="T259" s="108"/>
    </row>
    <row r="260" spans="1:20" s="71" customFormat="1" ht="22.5">
      <c r="A260" s="42" t="s">
        <v>489</v>
      </c>
      <c r="B260" s="40">
        <v>94795</v>
      </c>
      <c r="C260" s="40" t="s">
        <v>19</v>
      </c>
      <c r="D260" s="41" t="s">
        <v>490</v>
      </c>
      <c r="E260" s="42" t="s">
        <v>32</v>
      </c>
      <c r="F260" s="42">
        <f t="shared" si="37"/>
        <v>3</v>
      </c>
      <c r="G260" s="43">
        <f t="shared" si="34"/>
        <v>41.82</v>
      </c>
      <c r="H260" s="42">
        <f t="shared" si="35"/>
        <v>53.37</v>
      </c>
      <c r="I260" s="42">
        <f t="shared" si="36"/>
        <v>160.11000000000001</v>
      </c>
      <c r="J260"/>
      <c r="K260" s="51">
        <v>3</v>
      </c>
      <c r="L260" s="52">
        <v>41.82</v>
      </c>
      <c r="M260" s="60"/>
      <c r="N260" s="60"/>
      <c r="O260" s="47"/>
      <c r="P260" s="47"/>
      <c r="Q260" s="47"/>
      <c r="R260" s="48"/>
      <c r="S260" s="70"/>
      <c r="T260" s="70"/>
    </row>
    <row r="261" spans="1:20" s="71" customFormat="1">
      <c r="A261" s="42" t="s">
        <v>491</v>
      </c>
      <c r="B261" s="40">
        <v>102607</v>
      </c>
      <c r="C261" s="40" t="s">
        <v>19</v>
      </c>
      <c r="D261" s="41" t="s">
        <v>492</v>
      </c>
      <c r="E261" s="42" t="s">
        <v>32</v>
      </c>
      <c r="F261" s="42">
        <f t="shared" si="37"/>
        <v>3</v>
      </c>
      <c r="G261" s="43">
        <f t="shared" si="34"/>
        <v>435.47</v>
      </c>
      <c r="H261" s="42">
        <f t="shared" si="35"/>
        <v>555.79</v>
      </c>
      <c r="I261" s="42">
        <f t="shared" si="36"/>
        <v>1667.37</v>
      </c>
      <c r="J261"/>
      <c r="K261" s="51">
        <v>3</v>
      </c>
      <c r="L261" s="52">
        <v>435.47</v>
      </c>
      <c r="M261" s="60"/>
      <c r="N261" s="60"/>
      <c r="O261" s="47"/>
      <c r="P261" s="47"/>
      <c r="Q261" s="47"/>
      <c r="R261" s="48"/>
      <c r="S261" s="70"/>
      <c r="T261" s="70"/>
    </row>
    <row r="262" spans="1:20" s="120" customFormat="1">
      <c r="A262" s="84"/>
      <c r="B262" s="119"/>
      <c r="C262" s="119"/>
      <c r="D262" s="105" t="s">
        <v>493</v>
      </c>
      <c r="E262" s="42"/>
      <c r="F262" s="42">
        <f t="shared" si="37"/>
        <v>0</v>
      </c>
      <c r="G262" s="43">
        <f t="shared" si="34"/>
        <v>0</v>
      </c>
      <c r="H262" s="42">
        <f t="shared" si="35"/>
        <v>0</v>
      </c>
      <c r="I262" s="42">
        <f t="shared" si="36"/>
        <v>0</v>
      </c>
      <c r="J262"/>
      <c r="K262" s="52"/>
      <c r="L262" s="52"/>
      <c r="M262" s="8"/>
      <c r="N262" s="8"/>
      <c r="O262" s="87"/>
      <c r="P262" s="87"/>
      <c r="Q262" s="87"/>
      <c r="R262" s="88"/>
      <c r="S262" s="90"/>
    </row>
    <row r="263" spans="1:20" s="61" customFormat="1" ht="22.5">
      <c r="A263" s="42" t="s">
        <v>494</v>
      </c>
      <c r="B263" s="40">
        <v>95544</v>
      </c>
      <c r="C263" s="40" t="s">
        <v>19</v>
      </c>
      <c r="D263" s="41" t="s">
        <v>495</v>
      </c>
      <c r="E263" s="42" t="s">
        <v>32</v>
      </c>
      <c r="F263" s="42">
        <f t="shared" si="37"/>
        <v>4</v>
      </c>
      <c r="G263" s="43">
        <f t="shared" si="34"/>
        <v>42.53</v>
      </c>
      <c r="H263" s="42">
        <f t="shared" si="35"/>
        <v>54.28</v>
      </c>
      <c r="I263" s="42">
        <f t="shared" si="36"/>
        <v>217.12</v>
      </c>
      <c r="J263"/>
      <c r="K263" s="51">
        <v>4</v>
      </c>
      <c r="L263" s="52">
        <v>42.53</v>
      </c>
      <c r="M263" s="60"/>
      <c r="N263" s="60"/>
      <c r="O263" s="47"/>
      <c r="P263" s="47">
        <f>27.92*1.03</f>
        <v>28.757600000000004</v>
      </c>
      <c r="Q263" s="47"/>
      <c r="R263" s="48"/>
      <c r="S263" s="47"/>
    </row>
    <row r="264" spans="1:20" s="61" customFormat="1" ht="22.5">
      <c r="A264" s="42" t="s">
        <v>496</v>
      </c>
      <c r="B264" s="40">
        <v>95545</v>
      </c>
      <c r="C264" s="40" t="s">
        <v>19</v>
      </c>
      <c r="D264" s="41" t="s">
        <v>497</v>
      </c>
      <c r="E264" s="42" t="s">
        <v>32</v>
      </c>
      <c r="F264" s="42">
        <f t="shared" si="37"/>
        <v>4</v>
      </c>
      <c r="G264" s="43">
        <f t="shared" si="34"/>
        <v>41.66</v>
      </c>
      <c r="H264" s="42">
        <f t="shared" si="35"/>
        <v>53.17</v>
      </c>
      <c r="I264" s="42">
        <f t="shared" si="36"/>
        <v>212.68</v>
      </c>
      <c r="J264"/>
      <c r="K264" s="51">
        <v>4</v>
      </c>
      <c r="L264" s="52">
        <v>41.66</v>
      </c>
      <c r="M264" s="60"/>
      <c r="N264" s="60"/>
      <c r="O264" s="47"/>
      <c r="P264" s="47">
        <f>29.22*1.03</f>
        <v>30.096599999999999</v>
      </c>
      <c r="Q264" s="47"/>
      <c r="R264" s="48"/>
      <c r="S264" s="47"/>
    </row>
    <row r="265" spans="1:20" s="71" customFormat="1" ht="33.75">
      <c r="A265" s="42" t="s">
        <v>498</v>
      </c>
      <c r="B265" s="40">
        <v>99253</v>
      </c>
      <c r="C265" s="40" t="s">
        <v>19</v>
      </c>
      <c r="D265" s="41" t="s">
        <v>499</v>
      </c>
      <c r="E265" s="42" t="s">
        <v>32</v>
      </c>
      <c r="F265" s="42">
        <f t="shared" si="37"/>
        <v>5</v>
      </c>
      <c r="G265" s="43">
        <f t="shared" si="34"/>
        <v>522.72</v>
      </c>
      <c r="H265" s="42">
        <f t="shared" si="35"/>
        <v>667.14</v>
      </c>
      <c r="I265" s="42">
        <f t="shared" si="36"/>
        <v>3335.7</v>
      </c>
      <c r="J265"/>
      <c r="K265" s="51">
        <v>5</v>
      </c>
      <c r="L265" s="52">
        <v>522.72</v>
      </c>
      <c r="M265" s="60"/>
      <c r="N265" s="60"/>
      <c r="O265" s="47"/>
      <c r="P265" s="47"/>
      <c r="Q265" s="47"/>
      <c r="R265" s="48"/>
      <c r="S265" s="70"/>
      <c r="T265" s="70"/>
    </row>
    <row r="266" spans="1:20" s="71" customFormat="1" ht="22.5">
      <c r="A266" s="42" t="s">
        <v>500</v>
      </c>
      <c r="B266" s="40">
        <v>95469</v>
      </c>
      <c r="C266" s="40" t="s">
        <v>19</v>
      </c>
      <c r="D266" s="41" t="s">
        <v>501</v>
      </c>
      <c r="E266" s="42" t="s">
        <v>32</v>
      </c>
      <c r="F266" s="42">
        <f t="shared" si="37"/>
        <v>3</v>
      </c>
      <c r="G266" s="43">
        <f t="shared" si="34"/>
        <v>280.38</v>
      </c>
      <c r="H266" s="42">
        <f t="shared" si="35"/>
        <v>357.84</v>
      </c>
      <c r="I266" s="42">
        <f t="shared" si="36"/>
        <v>1073.52</v>
      </c>
      <c r="J266"/>
      <c r="K266" s="51">
        <v>3</v>
      </c>
      <c r="L266" s="52">
        <v>280.38</v>
      </c>
      <c r="M266" s="60"/>
      <c r="N266" s="60"/>
      <c r="O266" s="47"/>
      <c r="P266" s="47"/>
      <c r="Q266" s="47"/>
      <c r="R266" s="48"/>
      <c r="S266" s="70"/>
      <c r="T266" s="70"/>
    </row>
    <row r="267" spans="1:20" s="71" customFormat="1" ht="22.5">
      <c r="A267" s="42" t="s">
        <v>502</v>
      </c>
      <c r="B267" s="40">
        <v>100849</v>
      </c>
      <c r="C267" s="40" t="s">
        <v>19</v>
      </c>
      <c r="D267" s="41" t="s">
        <v>503</v>
      </c>
      <c r="E267" s="42" t="s">
        <v>32</v>
      </c>
      <c r="F267" s="42">
        <f t="shared" si="37"/>
        <v>4</v>
      </c>
      <c r="G267" s="43">
        <f t="shared" si="34"/>
        <v>43.79</v>
      </c>
      <c r="H267" s="42">
        <f t="shared" si="35"/>
        <v>55.88</v>
      </c>
      <c r="I267" s="42">
        <f t="shared" si="36"/>
        <v>223.52</v>
      </c>
      <c r="J267"/>
      <c r="K267" s="51">
        <v>4</v>
      </c>
      <c r="L267" s="52">
        <v>43.79</v>
      </c>
      <c r="M267" s="60"/>
      <c r="N267" s="60">
        <v>44317</v>
      </c>
      <c r="O267" s="47"/>
      <c r="P267" s="47"/>
      <c r="Q267" s="47"/>
      <c r="R267" s="48"/>
      <c r="S267" s="70"/>
      <c r="T267" s="70"/>
    </row>
    <row r="268" spans="1:20" s="71" customFormat="1" ht="45">
      <c r="A268" s="42" t="s">
        <v>504</v>
      </c>
      <c r="B268" s="40">
        <v>95472</v>
      </c>
      <c r="C268" s="40" t="s">
        <v>19</v>
      </c>
      <c r="D268" s="41" t="s">
        <v>505</v>
      </c>
      <c r="E268" s="42" t="s">
        <v>32</v>
      </c>
      <c r="F268" s="42">
        <f t="shared" si="37"/>
        <v>1</v>
      </c>
      <c r="G268" s="43">
        <f t="shared" si="34"/>
        <v>732.07</v>
      </c>
      <c r="H268" s="42">
        <f t="shared" si="35"/>
        <v>934.34</v>
      </c>
      <c r="I268" s="42">
        <f t="shared" si="36"/>
        <v>934.34</v>
      </c>
      <c r="J268"/>
      <c r="K268" s="51">
        <v>1</v>
      </c>
      <c r="L268" s="52">
        <v>732.07</v>
      </c>
      <c r="M268" s="60"/>
      <c r="N268" s="60"/>
      <c r="O268" s="47"/>
      <c r="P268" s="47"/>
      <c r="Q268" s="47"/>
      <c r="R268" s="48"/>
      <c r="S268" s="70"/>
      <c r="T268" s="70"/>
    </row>
    <row r="269" spans="1:20" s="71" customFormat="1" ht="33.75">
      <c r="A269" s="42" t="s">
        <v>506</v>
      </c>
      <c r="B269" s="40" t="s">
        <v>507</v>
      </c>
      <c r="C269" s="40" t="s">
        <v>19</v>
      </c>
      <c r="D269" s="41" t="s">
        <v>508</v>
      </c>
      <c r="E269" s="42" t="s">
        <v>32</v>
      </c>
      <c r="F269" s="42">
        <f t="shared" si="37"/>
        <v>4</v>
      </c>
      <c r="G269" s="43">
        <f t="shared" si="34"/>
        <v>43.64</v>
      </c>
      <c r="H269" s="42">
        <f t="shared" si="35"/>
        <v>55.69</v>
      </c>
      <c r="I269" s="42">
        <f t="shared" si="36"/>
        <v>222.76</v>
      </c>
      <c r="J269"/>
      <c r="K269" s="51">
        <v>4</v>
      </c>
      <c r="L269" s="52">
        <v>43.64</v>
      </c>
      <c r="M269" s="60"/>
      <c r="N269" s="60"/>
      <c r="O269" s="47"/>
      <c r="P269" s="47"/>
      <c r="Q269" s="47"/>
      <c r="R269" s="48"/>
      <c r="S269" s="70"/>
      <c r="T269" s="70"/>
    </row>
    <row r="270" spans="1:20" s="61" customFormat="1" ht="33.75">
      <c r="A270" s="42" t="s">
        <v>509</v>
      </c>
      <c r="B270" s="40" t="s">
        <v>510</v>
      </c>
      <c r="C270" s="40" t="s">
        <v>19</v>
      </c>
      <c r="D270" s="121" t="s">
        <v>511</v>
      </c>
      <c r="E270" s="42" t="s">
        <v>113</v>
      </c>
      <c r="F270" s="42">
        <f t="shared" si="37"/>
        <v>34.22</v>
      </c>
      <c r="G270" s="43">
        <f t="shared" si="34"/>
        <v>57.31</v>
      </c>
      <c r="H270" s="42">
        <f t="shared" si="35"/>
        <v>73.14</v>
      </c>
      <c r="I270" s="42">
        <f t="shared" si="36"/>
        <v>2502.85</v>
      </c>
      <c r="J270"/>
      <c r="K270" s="51">
        <v>34.22</v>
      </c>
      <c r="L270" s="52">
        <v>57.31</v>
      </c>
      <c r="M270" s="60"/>
      <c r="N270" s="60"/>
      <c r="O270" s="47">
        <f>55+25+25+6</f>
        <v>111</v>
      </c>
      <c r="P270" s="47"/>
      <c r="Q270" s="47">
        <f>17.86*1.3</f>
        <v>23.218</v>
      </c>
      <c r="R270" s="48"/>
      <c r="S270" s="47"/>
      <c r="T270" s="47"/>
    </row>
    <row r="271" spans="1:20" s="61" customFormat="1" ht="33.75">
      <c r="A271" s="42" t="s">
        <v>512</v>
      </c>
      <c r="B271" s="40" t="s">
        <v>513</v>
      </c>
      <c r="C271" s="40" t="s">
        <v>19</v>
      </c>
      <c r="D271" s="121" t="s">
        <v>514</v>
      </c>
      <c r="E271" s="42" t="s">
        <v>113</v>
      </c>
      <c r="F271" s="42">
        <f t="shared" si="37"/>
        <v>14.25</v>
      </c>
      <c r="G271" s="43">
        <f t="shared" si="34"/>
        <v>19.02</v>
      </c>
      <c r="H271" s="42">
        <f t="shared" si="35"/>
        <v>24.27</v>
      </c>
      <c r="I271" s="42">
        <f t="shared" si="36"/>
        <v>345.84</v>
      </c>
      <c r="J271"/>
      <c r="K271" s="51">
        <f>13.25+1</f>
        <v>14.25</v>
      </c>
      <c r="L271" s="52">
        <v>19.02</v>
      </c>
      <c r="M271" s="60"/>
      <c r="N271" s="60"/>
      <c r="O271" s="47"/>
      <c r="P271" s="47"/>
      <c r="Q271" s="47">
        <f>5.06*1.3</f>
        <v>6.5779999999999994</v>
      </c>
      <c r="R271" s="48"/>
      <c r="S271" s="47"/>
      <c r="T271" s="47"/>
    </row>
    <row r="272" spans="1:20" s="61" customFormat="1" ht="33.75">
      <c r="A272" s="42" t="s">
        <v>515</v>
      </c>
      <c r="B272" s="40">
        <v>89712</v>
      </c>
      <c r="C272" s="40" t="s">
        <v>19</v>
      </c>
      <c r="D272" s="121" t="s">
        <v>516</v>
      </c>
      <c r="E272" s="42" t="s">
        <v>113</v>
      </c>
      <c r="F272" s="42">
        <f t="shared" si="37"/>
        <v>6.2</v>
      </c>
      <c r="G272" s="43">
        <f t="shared" si="34"/>
        <v>29.77</v>
      </c>
      <c r="H272" s="42">
        <f t="shared" si="35"/>
        <v>37.99</v>
      </c>
      <c r="I272" s="42">
        <f t="shared" si="36"/>
        <v>235.53</v>
      </c>
      <c r="J272"/>
      <c r="K272" s="51">
        <v>6.2</v>
      </c>
      <c r="L272" s="52">
        <v>29.77</v>
      </c>
      <c r="M272" s="60"/>
      <c r="N272" s="60"/>
      <c r="O272" s="47"/>
      <c r="P272" s="47"/>
      <c r="Q272" s="47"/>
      <c r="R272" s="48"/>
      <c r="S272" s="47"/>
      <c r="T272" s="47"/>
    </row>
    <row r="273" spans="1:20" s="71" customFormat="1" ht="33.75">
      <c r="A273" s="42" t="s">
        <v>517</v>
      </c>
      <c r="B273" s="40" t="s">
        <v>518</v>
      </c>
      <c r="C273" s="40" t="s">
        <v>19</v>
      </c>
      <c r="D273" s="41" t="s">
        <v>519</v>
      </c>
      <c r="E273" s="42" t="s">
        <v>32</v>
      </c>
      <c r="F273" s="42">
        <f t="shared" si="37"/>
        <v>0</v>
      </c>
      <c r="G273" s="43">
        <f t="shared" si="34"/>
        <v>21.14</v>
      </c>
      <c r="H273" s="42">
        <f t="shared" si="35"/>
        <v>26.98</v>
      </c>
      <c r="I273" s="42">
        <f t="shared" si="36"/>
        <v>0</v>
      </c>
      <c r="J273"/>
      <c r="K273" s="51"/>
      <c r="L273" s="52">
        <v>21.14</v>
      </c>
      <c r="M273" s="60"/>
      <c r="N273" s="60"/>
      <c r="O273" s="47"/>
      <c r="P273" s="47"/>
      <c r="Q273" s="47">
        <f>11.83*1.3</f>
        <v>15.379000000000001</v>
      </c>
      <c r="R273" s="48"/>
      <c r="S273" s="70"/>
      <c r="T273" s="70"/>
    </row>
    <row r="274" spans="1:20" s="71" customFormat="1" ht="33.75">
      <c r="A274" s="42" t="s">
        <v>520</v>
      </c>
      <c r="B274" s="40">
        <v>89724</v>
      </c>
      <c r="C274" s="40" t="s">
        <v>19</v>
      </c>
      <c r="D274" s="121" t="s">
        <v>521</v>
      </c>
      <c r="E274" s="42" t="s">
        <v>32</v>
      </c>
      <c r="F274" s="42">
        <f t="shared" si="37"/>
        <v>12</v>
      </c>
      <c r="G274" s="43">
        <f t="shared" si="34"/>
        <v>10.94</v>
      </c>
      <c r="H274" s="42">
        <f t="shared" si="35"/>
        <v>13.96</v>
      </c>
      <c r="I274" s="42">
        <f t="shared" si="36"/>
        <v>167.52</v>
      </c>
      <c r="J274"/>
      <c r="K274" s="51">
        <v>12</v>
      </c>
      <c r="L274" s="52">
        <v>10.94</v>
      </c>
      <c r="M274" s="60"/>
      <c r="N274" s="60"/>
      <c r="O274" s="47"/>
      <c r="P274" s="47"/>
      <c r="Q274" s="47"/>
      <c r="R274" s="48"/>
      <c r="S274" s="70"/>
      <c r="T274" s="70"/>
    </row>
    <row r="275" spans="1:20" s="71" customFormat="1" ht="33.75">
      <c r="A275" s="42" t="s">
        <v>522</v>
      </c>
      <c r="B275" s="40">
        <v>89802</v>
      </c>
      <c r="C275" s="40" t="s">
        <v>19</v>
      </c>
      <c r="D275" s="121" t="s">
        <v>523</v>
      </c>
      <c r="E275" s="42" t="s">
        <v>32</v>
      </c>
      <c r="F275" s="42">
        <f t="shared" si="37"/>
        <v>1</v>
      </c>
      <c r="G275" s="43">
        <f t="shared" si="34"/>
        <v>8.51</v>
      </c>
      <c r="H275" s="42">
        <f t="shared" si="35"/>
        <v>10.86</v>
      </c>
      <c r="I275" s="42">
        <f t="shared" si="36"/>
        <v>10.86</v>
      </c>
      <c r="J275"/>
      <c r="K275" s="51">
        <v>1</v>
      </c>
      <c r="L275" s="52">
        <v>8.51</v>
      </c>
      <c r="M275" s="60"/>
      <c r="N275" s="122"/>
      <c r="O275" s="47"/>
      <c r="P275" s="47"/>
      <c r="Q275" s="47"/>
      <c r="R275" s="48"/>
      <c r="S275" s="70"/>
      <c r="T275" s="70"/>
    </row>
    <row r="276" spans="1:20" s="71" customFormat="1" ht="33.75">
      <c r="A276" s="42" t="s">
        <v>524</v>
      </c>
      <c r="B276" s="40">
        <v>89726</v>
      </c>
      <c r="C276" s="40" t="s">
        <v>19</v>
      </c>
      <c r="D276" s="121" t="s">
        <v>525</v>
      </c>
      <c r="E276" s="42" t="s">
        <v>32</v>
      </c>
      <c r="F276" s="42">
        <f t="shared" si="37"/>
        <v>5</v>
      </c>
      <c r="G276" s="43">
        <f t="shared" si="34"/>
        <v>7.22</v>
      </c>
      <c r="H276" s="42">
        <f t="shared" si="35"/>
        <v>9.2100000000000009</v>
      </c>
      <c r="I276" s="42">
        <f t="shared" si="36"/>
        <v>46.05</v>
      </c>
      <c r="J276"/>
      <c r="K276" s="51">
        <v>5</v>
      </c>
      <c r="L276" s="52">
        <v>7.22</v>
      </c>
      <c r="M276" s="60"/>
      <c r="N276" s="60"/>
      <c r="O276" s="47"/>
      <c r="P276" s="47"/>
      <c r="Q276" s="47"/>
      <c r="R276" s="48"/>
      <c r="S276" s="70"/>
      <c r="T276" s="70"/>
    </row>
    <row r="277" spans="1:20" s="71" customFormat="1" ht="33.75">
      <c r="A277" s="42" t="s">
        <v>526</v>
      </c>
      <c r="B277" s="40">
        <v>89732</v>
      </c>
      <c r="C277" s="40" t="s">
        <v>19</v>
      </c>
      <c r="D277" s="121" t="s">
        <v>527</v>
      </c>
      <c r="E277" s="42" t="s">
        <v>32</v>
      </c>
      <c r="F277" s="42">
        <f t="shared" si="37"/>
        <v>1</v>
      </c>
      <c r="G277" s="43">
        <f t="shared" si="34"/>
        <v>11.78</v>
      </c>
      <c r="H277" s="42">
        <f t="shared" si="35"/>
        <v>15.03</v>
      </c>
      <c r="I277" s="42">
        <f t="shared" si="36"/>
        <v>15.03</v>
      </c>
      <c r="J277"/>
      <c r="K277" s="51">
        <v>1</v>
      </c>
      <c r="L277" s="52">
        <v>11.78</v>
      </c>
      <c r="M277" s="60"/>
      <c r="N277" s="60"/>
      <c r="O277" s="47"/>
      <c r="P277" s="47"/>
      <c r="Q277" s="47"/>
      <c r="R277" s="48"/>
      <c r="S277" s="70"/>
      <c r="T277" s="70"/>
    </row>
    <row r="278" spans="1:20" s="71" customFormat="1" ht="33.75">
      <c r="A278" s="42" t="s">
        <v>528</v>
      </c>
      <c r="B278" s="40">
        <v>89746</v>
      </c>
      <c r="C278" s="40" t="s">
        <v>19</v>
      </c>
      <c r="D278" s="121" t="s">
        <v>529</v>
      </c>
      <c r="E278" s="42" t="s">
        <v>32</v>
      </c>
      <c r="F278" s="42">
        <f t="shared" si="37"/>
        <v>4</v>
      </c>
      <c r="G278" s="43">
        <f t="shared" si="34"/>
        <v>25.79</v>
      </c>
      <c r="H278" s="42">
        <f t="shared" si="35"/>
        <v>32.909999999999997</v>
      </c>
      <c r="I278" s="42">
        <f t="shared" si="36"/>
        <v>131.63999999999999</v>
      </c>
      <c r="J278"/>
      <c r="K278" s="51">
        <v>4</v>
      </c>
      <c r="L278" s="52">
        <v>25.79</v>
      </c>
      <c r="M278" s="60"/>
      <c r="N278" s="60"/>
      <c r="O278" s="47"/>
      <c r="P278" s="47"/>
      <c r="Q278" s="47"/>
      <c r="R278" s="48"/>
      <c r="S278" s="70"/>
      <c r="T278" s="70"/>
    </row>
    <row r="279" spans="1:20" s="71" customFormat="1" ht="33.75">
      <c r="A279" s="42" t="s">
        <v>530</v>
      </c>
      <c r="B279" s="40">
        <v>89744</v>
      </c>
      <c r="C279" s="40" t="s">
        <v>19</v>
      </c>
      <c r="D279" s="121" t="s">
        <v>531</v>
      </c>
      <c r="E279" s="42" t="s">
        <v>32</v>
      </c>
      <c r="F279" s="42">
        <f t="shared" si="37"/>
        <v>4</v>
      </c>
      <c r="G279" s="43">
        <f t="shared" si="34"/>
        <v>25.87</v>
      </c>
      <c r="H279" s="42">
        <f t="shared" si="35"/>
        <v>33.01</v>
      </c>
      <c r="I279" s="42">
        <f t="shared" si="36"/>
        <v>132.04</v>
      </c>
      <c r="J279"/>
      <c r="K279" s="51">
        <v>4</v>
      </c>
      <c r="L279" s="52">
        <v>25.87</v>
      </c>
      <c r="M279" s="60"/>
      <c r="N279" s="60"/>
      <c r="O279" s="47"/>
      <c r="P279" s="47"/>
      <c r="Q279" s="47"/>
      <c r="R279" s="48"/>
      <c r="S279" s="70"/>
      <c r="T279" s="70"/>
    </row>
    <row r="280" spans="1:20" s="71" customFormat="1" ht="33.75">
      <c r="A280" s="42" t="s">
        <v>532</v>
      </c>
      <c r="B280" s="40">
        <v>89825</v>
      </c>
      <c r="C280" s="40" t="s">
        <v>19</v>
      </c>
      <c r="D280" s="121" t="s">
        <v>533</v>
      </c>
      <c r="E280" s="42" t="s">
        <v>32</v>
      </c>
      <c r="F280" s="42">
        <f t="shared" si="37"/>
        <v>5</v>
      </c>
      <c r="G280" s="43">
        <f t="shared" si="34"/>
        <v>17.489999999999998</v>
      </c>
      <c r="H280" s="42">
        <f t="shared" si="35"/>
        <v>22.32</v>
      </c>
      <c r="I280" s="42">
        <f t="shared" si="36"/>
        <v>111.6</v>
      </c>
      <c r="J280"/>
      <c r="K280" s="51">
        <v>5</v>
      </c>
      <c r="L280" s="52">
        <v>17.489999999999998</v>
      </c>
      <c r="M280" s="60"/>
      <c r="N280" s="60"/>
      <c r="O280" s="47"/>
      <c r="P280" s="47"/>
      <c r="Q280" s="47"/>
      <c r="R280" s="48"/>
      <c r="S280" s="70"/>
      <c r="T280" s="70"/>
    </row>
    <row r="281" spans="1:20" s="71" customFormat="1" ht="33.75">
      <c r="A281" s="42" t="s">
        <v>534</v>
      </c>
      <c r="B281" s="40">
        <v>89782</v>
      </c>
      <c r="C281" s="40" t="s">
        <v>19</v>
      </c>
      <c r="D281" s="121" t="s">
        <v>535</v>
      </c>
      <c r="E281" s="42" t="s">
        <v>32</v>
      </c>
      <c r="F281" s="42">
        <f t="shared" si="37"/>
        <v>1</v>
      </c>
      <c r="G281" s="43">
        <f t="shared" si="34"/>
        <v>12.46</v>
      </c>
      <c r="H281" s="42">
        <f t="shared" si="35"/>
        <v>15.9</v>
      </c>
      <c r="I281" s="42">
        <f t="shared" si="36"/>
        <v>15.9</v>
      </c>
      <c r="J281"/>
      <c r="K281" s="51">
        <v>1</v>
      </c>
      <c r="L281" s="52">
        <v>12.46</v>
      </c>
      <c r="M281" s="60"/>
      <c r="N281" s="60"/>
      <c r="O281" s="47"/>
      <c r="P281" s="47"/>
      <c r="Q281" s="47"/>
      <c r="R281" s="48"/>
      <c r="S281" s="70"/>
      <c r="T281" s="70"/>
    </row>
    <row r="282" spans="1:20" s="71" customFormat="1" ht="33.75">
      <c r="A282" s="42" t="s">
        <v>536</v>
      </c>
      <c r="B282" s="40">
        <v>89798</v>
      </c>
      <c r="C282" s="40" t="s">
        <v>19</v>
      </c>
      <c r="D282" s="121" t="s">
        <v>537</v>
      </c>
      <c r="E282" s="42" t="s">
        <v>113</v>
      </c>
      <c r="F282" s="42">
        <f t="shared" si="37"/>
        <v>30</v>
      </c>
      <c r="G282" s="43">
        <f t="shared" si="34"/>
        <v>15.93</v>
      </c>
      <c r="H282" s="42">
        <f t="shared" si="35"/>
        <v>20.329999999999998</v>
      </c>
      <c r="I282" s="42">
        <f t="shared" si="36"/>
        <v>609.9</v>
      </c>
      <c r="J282"/>
      <c r="K282" s="51">
        <v>30</v>
      </c>
      <c r="L282" s="52">
        <v>15.93</v>
      </c>
      <c r="M282" s="60"/>
      <c r="N282" s="60"/>
      <c r="O282" s="47"/>
      <c r="P282" s="47"/>
      <c r="Q282" s="47"/>
      <c r="R282" s="48"/>
      <c r="S282" s="70"/>
      <c r="T282" s="70"/>
    </row>
    <row r="283" spans="1:20" s="71" customFormat="1" ht="33.75">
      <c r="A283" s="42" t="s">
        <v>538</v>
      </c>
      <c r="B283" s="40">
        <v>89569</v>
      </c>
      <c r="C283" s="40" t="s">
        <v>19</v>
      </c>
      <c r="D283" s="121" t="s">
        <v>539</v>
      </c>
      <c r="E283" s="42" t="s">
        <v>32</v>
      </c>
      <c r="F283" s="42">
        <f t="shared" si="37"/>
        <v>4</v>
      </c>
      <c r="G283" s="43">
        <f t="shared" si="34"/>
        <v>103.33</v>
      </c>
      <c r="H283" s="42">
        <f t="shared" si="35"/>
        <v>131.88</v>
      </c>
      <c r="I283" s="42">
        <f t="shared" si="36"/>
        <v>527.52</v>
      </c>
      <c r="J283"/>
      <c r="K283" s="51">
        <v>4</v>
      </c>
      <c r="L283" s="52">
        <v>103.33</v>
      </c>
      <c r="M283" s="60"/>
      <c r="N283" s="60"/>
      <c r="O283" s="47"/>
      <c r="P283" s="47"/>
      <c r="Q283" s="47"/>
      <c r="R283" s="48"/>
      <c r="S283" s="70"/>
      <c r="T283" s="70"/>
    </row>
    <row r="284" spans="1:20" s="71" customFormat="1" ht="33.75">
      <c r="A284" s="42" t="s">
        <v>540</v>
      </c>
      <c r="B284" s="123">
        <v>89549</v>
      </c>
      <c r="C284" s="40" t="s">
        <v>19</v>
      </c>
      <c r="D284" s="121" t="s">
        <v>541</v>
      </c>
      <c r="E284" s="42" t="s">
        <v>32</v>
      </c>
      <c r="F284" s="42">
        <f t="shared" si="37"/>
        <v>4</v>
      </c>
      <c r="G284" s="43">
        <f t="shared" si="34"/>
        <v>20.34</v>
      </c>
      <c r="H284" s="42">
        <f t="shared" si="35"/>
        <v>25.95</v>
      </c>
      <c r="I284" s="42">
        <f t="shared" si="36"/>
        <v>103.8</v>
      </c>
      <c r="J284"/>
      <c r="K284" s="51">
        <v>4</v>
      </c>
      <c r="L284" s="52">
        <v>20.34</v>
      </c>
      <c r="M284" s="60"/>
      <c r="N284" s="60"/>
      <c r="O284" s="47"/>
      <c r="P284" s="47"/>
      <c r="Q284" s="47"/>
      <c r="R284" s="48"/>
      <c r="S284" s="70"/>
      <c r="T284" s="70"/>
    </row>
    <row r="285" spans="1:20" s="71" customFormat="1" ht="33.75">
      <c r="A285" s="42" t="s">
        <v>542</v>
      </c>
      <c r="B285" s="40">
        <v>89563</v>
      </c>
      <c r="C285" s="40" t="s">
        <v>19</v>
      </c>
      <c r="D285" s="121" t="s">
        <v>543</v>
      </c>
      <c r="E285" s="42" t="s">
        <v>32</v>
      </c>
      <c r="F285" s="42">
        <f t="shared" si="37"/>
        <v>1</v>
      </c>
      <c r="G285" s="43">
        <f t="shared" si="34"/>
        <v>30.51</v>
      </c>
      <c r="H285" s="42">
        <f t="shared" si="35"/>
        <v>38.93</v>
      </c>
      <c r="I285" s="42">
        <f t="shared" si="36"/>
        <v>38.93</v>
      </c>
      <c r="J285"/>
      <c r="K285" s="51">
        <v>1</v>
      </c>
      <c r="L285" s="52">
        <v>30.51</v>
      </c>
      <c r="M285" s="60"/>
      <c r="N285" s="60"/>
      <c r="O285" s="47"/>
      <c r="P285" s="47"/>
      <c r="Q285" s="47"/>
      <c r="R285" s="48"/>
      <c r="S285" s="70"/>
      <c r="T285" s="70"/>
    </row>
    <row r="286" spans="1:20" s="124" customFormat="1" ht="33.75">
      <c r="A286" s="42" t="s">
        <v>544</v>
      </c>
      <c r="B286" s="40">
        <v>89690</v>
      </c>
      <c r="C286" s="40" t="s">
        <v>19</v>
      </c>
      <c r="D286" s="121" t="s">
        <v>545</v>
      </c>
      <c r="E286" s="42" t="s">
        <v>32</v>
      </c>
      <c r="F286" s="42">
        <f t="shared" si="37"/>
        <v>12</v>
      </c>
      <c r="G286" s="43">
        <f t="shared" si="34"/>
        <v>114.47</v>
      </c>
      <c r="H286" s="42">
        <f t="shared" si="35"/>
        <v>146.09</v>
      </c>
      <c r="I286" s="42">
        <f t="shared" si="36"/>
        <v>1753.08</v>
      </c>
      <c r="J286"/>
      <c r="K286" s="51">
        <v>12</v>
      </c>
      <c r="L286" s="52">
        <v>114.47</v>
      </c>
      <c r="M286" s="60"/>
      <c r="N286" s="60"/>
      <c r="O286" s="108"/>
      <c r="P286" s="108"/>
      <c r="Q286" s="108"/>
      <c r="R286" s="109"/>
      <c r="S286" s="108"/>
      <c r="T286" s="108"/>
    </row>
    <row r="287" spans="1:20" s="61" customFormat="1" ht="33.75">
      <c r="A287" s="42" t="s">
        <v>546</v>
      </c>
      <c r="B287" s="40">
        <v>100866</v>
      </c>
      <c r="C287" s="40" t="s">
        <v>19</v>
      </c>
      <c r="D287" s="41" t="s">
        <v>547</v>
      </c>
      <c r="E287" s="63" t="s">
        <v>187</v>
      </c>
      <c r="F287" s="42">
        <f t="shared" si="37"/>
        <v>6</v>
      </c>
      <c r="G287" s="43">
        <f t="shared" si="34"/>
        <v>427.69</v>
      </c>
      <c r="H287" s="42">
        <f t="shared" si="35"/>
        <v>545.86</v>
      </c>
      <c r="I287" s="42">
        <f t="shared" si="36"/>
        <v>3275.16</v>
      </c>
      <c r="J287"/>
      <c r="K287" s="51">
        <v>6</v>
      </c>
      <c r="L287" s="52">
        <v>427.69</v>
      </c>
      <c r="M287" s="60"/>
      <c r="N287" s="60"/>
      <c r="O287" s="47"/>
      <c r="P287" s="47"/>
      <c r="Q287" s="47"/>
      <c r="R287" s="48"/>
      <c r="S287" s="47"/>
      <c r="T287" s="47"/>
    </row>
    <row r="288" spans="1:20" s="61" customFormat="1" ht="45">
      <c r="A288" s="42" t="s">
        <v>548</v>
      </c>
      <c r="B288" s="40">
        <v>86919</v>
      </c>
      <c r="C288" s="40" t="s">
        <v>19</v>
      </c>
      <c r="D288" s="41" t="s">
        <v>549</v>
      </c>
      <c r="E288" s="63" t="s">
        <v>32</v>
      </c>
      <c r="F288" s="42">
        <f t="shared" si="37"/>
        <v>1</v>
      </c>
      <c r="G288" s="43">
        <f t="shared" si="34"/>
        <v>851.66</v>
      </c>
      <c r="H288" s="42">
        <f t="shared" si="35"/>
        <v>1086.97</v>
      </c>
      <c r="I288" s="42">
        <f t="shared" si="36"/>
        <v>1086.97</v>
      </c>
      <c r="J288"/>
      <c r="K288" s="51">
        <v>1</v>
      </c>
      <c r="L288" s="52">
        <v>851.66</v>
      </c>
      <c r="M288" s="60"/>
      <c r="N288" s="60"/>
      <c r="O288" s="47"/>
      <c r="P288" s="47"/>
      <c r="Q288" s="47"/>
      <c r="R288" s="48"/>
      <c r="S288" s="47"/>
      <c r="T288" s="47"/>
    </row>
    <row r="289" spans="1:20" s="111" customFormat="1">
      <c r="A289" s="38"/>
      <c r="B289" s="38"/>
      <c r="C289" s="38"/>
      <c r="D289" s="32" t="s">
        <v>36</v>
      </c>
      <c r="E289" s="38"/>
      <c r="F289" s="38"/>
      <c r="G289" s="38"/>
      <c r="H289" s="38"/>
      <c r="I289" s="38">
        <f>TRUNC(SUM(I225:I288),2)</f>
        <v>28414.87</v>
      </c>
      <c r="J289"/>
      <c r="K289" s="53"/>
      <c r="L289" s="35"/>
      <c r="M289" s="72"/>
      <c r="N289" s="72"/>
      <c r="O289" s="108"/>
      <c r="P289" s="108"/>
      <c r="Q289" s="108"/>
      <c r="R289" s="109"/>
      <c r="S289" s="110"/>
      <c r="T289" s="75"/>
    </row>
    <row r="290" spans="1:20" s="111" customFormat="1">
      <c r="A290" s="102"/>
      <c r="B290" s="103"/>
      <c r="C290" s="103"/>
      <c r="D290" s="81"/>
      <c r="E290" s="79"/>
      <c r="F290" s="79"/>
      <c r="G290" s="79"/>
      <c r="H290" s="125"/>
      <c r="I290" s="79"/>
      <c r="J290"/>
      <c r="K290" s="53"/>
      <c r="L290" s="35"/>
      <c r="M290" s="72"/>
      <c r="N290" s="72"/>
      <c r="O290" s="108"/>
      <c r="P290" s="108"/>
      <c r="Q290" s="108"/>
      <c r="R290" s="109"/>
      <c r="S290" s="110"/>
      <c r="T290" s="75"/>
    </row>
    <row r="291" spans="1:20" s="71" customFormat="1">
      <c r="A291" s="38" t="s">
        <v>550</v>
      </c>
      <c r="B291" s="38"/>
      <c r="C291" s="38"/>
      <c r="D291" s="32" t="s">
        <v>551</v>
      </c>
      <c r="E291" s="32"/>
      <c r="F291" s="38"/>
      <c r="G291" s="38"/>
      <c r="H291" s="32"/>
      <c r="I291" s="32"/>
      <c r="J291"/>
      <c r="K291" s="78"/>
      <c r="L291" s="52"/>
      <c r="M291" s="7"/>
      <c r="N291" s="7"/>
      <c r="O291" s="47"/>
      <c r="P291" s="126"/>
      <c r="Q291" s="47"/>
      <c r="R291" s="48"/>
      <c r="S291" s="70"/>
      <c r="T291" s="11"/>
    </row>
    <row r="292" spans="1:20" s="71" customFormat="1">
      <c r="A292" s="38" t="s">
        <v>552</v>
      </c>
      <c r="B292" s="38"/>
      <c r="C292" s="38"/>
      <c r="D292" s="100" t="s">
        <v>553</v>
      </c>
      <c r="E292" s="38"/>
      <c r="F292" s="38"/>
      <c r="G292" s="38"/>
      <c r="H292" s="38"/>
      <c r="I292" s="38"/>
      <c r="J292"/>
      <c r="K292" s="78"/>
      <c r="L292" s="52"/>
      <c r="M292" s="7"/>
      <c r="N292" s="7"/>
      <c r="O292" s="47"/>
      <c r="P292" s="126"/>
      <c r="Q292" s="47"/>
      <c r="R292" s="48"/>
      <c r="S292" s="70"/>
      <c r="T292" s="11"/>
    </row>
    <row r="293" spans="1:20" s="71" customFormat="1" ht="45">
      <c r="A293" s="42" t="s">
        <v>554</v>
      </c>
      <c r="B293" s="40">
        <v>103328</v>
      </c>
      <c r="C293" s="40" t="s">
        <v>19</v>
      </c>
      <c r="D293" s="69" t="s">
        <v>110</v>
      </c>
      <c r="E293" s="42" t="s">
        <v>28</v>
      </c>
      <c r="F293" s="42">
        <f>TRUNC(K293,2)</f>
        <v>10</v>
      </c>
      <c r="G293" s="43">
        <f t="shared" ref="G293:G300" si="38">L293</f>
        <v>83.87</v>
      </c>
      <c r="H293" s="42">
        <f t="shared" ref="H293:H300" si="39">TRUNC(L293*L$12,2)</f>
        <v>107.04</v>
      </c>
      <c r="I293" s="42">
        <f t="shared" ref="I293:I300" si="40">TRUNC(F293*H293,2)</f>
        <v>1070.4000000000001</v>
      </c>
      <c r="J293"/>
      <c r="K293" s="51">
        <v>10</v>
      </c>
      <c r="L293" s="52">
        <v>83.87</v>
      </c>
      <c r="M293" s="60"/>
      <c r="N293" s="60"/>
      <c r="O293" s="47"/>
      <c r="P293" s="126"/>
      <c r="Q293" s="47"/>
      <c r="R293" s="48"/>
      <c r="S293" s="70"/>
      <c r="T293" s="70"/>
    </row>
    <row r="294" spans="1:20" s="71" customFormat="1" ht="45">
      <c r="A294" s="42" t="s">
        <v>555</v>
      </c>
      <c r="B294" s="40">
        <v>87879</v>
      </c>
      <c r="C294" s="40" t="s">
        <v>19</v>
      </c>
      <c r="D294" s="69" t="s">
        <v>159</v>
      </c>
      <c r="E294" s="42" t="s">
        <v>28</v>
      </c>
      <c r="F294" s="42">
        <v>22</v>
      </c>
      <c r="G294" s="43">
        <f t="shared" si="38"/>
        <v>3.83</v>
      </c>
      <c r="H294" s="42">
        <f t="shared" si="39"/>
        <v>4.88</v>
      </c>
      <c r="I294" s="42">
        <f t="shared" si="40"/>
        <v>107.36</v>
      </c>
      <c r="J294"/>
      <c r="K294" s="51">
        <v>22</v>
      </c>
      <c r="L294" s="52">
        <v>3.83</v>
      </c>
      <c r="M294" s="60"/>
      <c r="N294" s="127"/>
      <c r="O294" s="128"/>
      <c r="P294" s="129"/>
      <c r="Q294" s="130"/>
      <c r="R294" s="131"/>
      <c r="S294" s="132"/>
      <c r="T294" s="133"/>
    </row>
    <row r="295" spans="1:20" s="71" customFormat="1" ht="56.25">
      <c r="A295" s="42" t="s">
        <v>556</v>
      </c>
      <c r="B295" s="40" t="s">
        <v>161</v>
      </c>
      <c r="C295" s="40" t="s">
        <v>19</v>
      </c>
      <c r="D295" s="69" t="s">
        <v>162</v>
      </c>
      <c r="E295" s="42" t="s">
        <v>28</v>
      </c>
      <c r="F295" s="42">
        <v>22</v>
      </c>
      <c r="G295" s="43">
        <f t="shared" si="38"/>
        <v>32.26</v>
      </c>
      <c r="H295" s="42">
        <f t="shared" si="39"/>
        <v>41.17</v>
      </c>
      <c r="I295" s="42">
        <f t="shared" si="40"/>
        <v>905.74</v>
      </c>
      <c r="J295"/>
      <c r="K295" s="51">
        <v>22</v>
      </c>
      <c r="L295" s="52">
        <v>32.26</v>
      </c>
      <c r="M295" s="60"/>
      <c r="N295" s="134"/>
      <c r="O295" s="135"/>
      <c r="P295" s="136"/>
      <c r="Q295" s="132"/>
      <c r="R295" s="131"/>
      <c r="S295" s="132"/>
      <c r="T295" s="132"/>
    </row>
    <row r="296" spans="1:20" s="71" customFormat="1" ht="22.5">
      <c r="A296" s="42" t="s">
        <v>557</v>
      </c>
      <c r="B296" s="40" t="s">
        <v>25</v>
      </c>
      <c r="C296" s="40" t="s">
        <v>558</v>
      </c>
      <c r="D296" s="69" t="s">
        <v>559</v>
      </c>
      <c r="E296" s="42" t="s">
        <v>32</v>
      </c>
      <c r="F296" s="42">
        <f>TRUNC(K296,2)</f>
        <v>2</v>
      </c>
      <c r="G296" s="43">
        <f t="shared" si="38"/>
        <v>523.46</v>
      </c>
      <c r="H296" s="42">
        <f t="shared" si="39"/>
        <v>668.09</v>
      </c>
      <c r="I296" s="42">
        <f t="shared" si="40"/>
        <v>1336.18</v>
      </c>
      <c r="J296"/>
      <c r="K296" s="51">
        <v>2</v>
      </c>
      <c r="L296" s="52">
        <v>523.46</v>
      </c>
      <c r="M296" s="60"/>
      <c r="N296" s="137"/>
      <c r="O296" s="138"/>
      <c r="P296" s="139"/>
      <c r="Q296" s="140"/>
      <c r="R296" s="68"/>
      <c r="S296" s="140"/>
      <c r="T296" s="140"/>
    </row>
    <row r="297" spans="1:20" s="71" customFormat="1">
      <c r="A297" s="42" t="s">
        <v>560</v>
      </c>
      <c r="B297" s="40">
        <v>98504</v>
      </c>
      <c r="C297" s="40" t="s">
        <v>19</v>
      </c>
      <c r="D297" s="69" t="s">
        <v>561</v>
      </c>
      <c r="E297" s="42" t="s">
        <v>28</v>
      </c>
      <c r="F297" s="42">
        <f>TRUNC(K297,2)</f>
        <v>45.85</v>
      </c>
      <c r="G297" s="43">
        <f t="shared" si="38"/>
        <v>13.88</v>
      </c>
      <c r="H297" s="42">
        <f t="shared" si="39"/>
        <v>17.71</v>
      </c>
      <c r="I297" s="42">
        <f t="shared" si="40"/>
        <v>812</v>
      </c>
      <c r="J297"/>
      <c r="K297" s="51">
        <f>1.87+7.34+19.33+10.08+6.79+0.44</f>
        <v>45.849999999999994</v>
      </c>
      <c r="L297" s="52">
        <v>13.88</v>
      </c>
      <c r="M297" s="60"/>
      <c r="N297" s="137"/>
      <c r="O297" s="138"/>
      <c r="P297" s="139"/>
      <c r="Q297" s="140"/>
      <c r="R297" s="68"/>
      <c r="S297" s="140"/>
      <c r="T297" s="140"/>
    </row>
    <row r="298" spans="1:20" s="71" customFormat="1" ht="45">
      <c r="A298" s="42" t="s">
        <v>562</v>
      </c>
      <c r="B298" s="40">
        <v>94273</v>
      </c>
      <c r="C298" s="40" t="s">
        <v>19</v>
      </c>
      <c r="D298" s="69" t="s">
        <v>563</v>
      </c>
      <c r="E298" s="42" t="s">
        <v>113</v>
      </c>
      <c r="F298" s="42">
        <f>TRUNC(K298,2)</f>
        <v>47.87</v>
      </c>
      <c r="G298" s="43">
        <f t="shared" si="38"/>
        <v>54.89</v>
      </c>
      <c r="H298" s="42">
        <f t="shared" si="39"/>
        <v>70.05</v>
      </c>
      <c r="I298" s="42">
        <f t="shared" si="40"/>
        <v>3353.29</v>
      </c>
      <c r="J298"/>
      <c r="K298" s="51">
        <f>2.5+2.1+27+13.95+2.32</f>
        <v>47.87</v>
      </c>
      <c r="L298" s="52">
        <v>54.89</v>
      </c>
      <c r="M298" s="60"/>
      <c r="N298" s="137"/>
      <c r="O298" s="138"/>
      <c r="P298" s="139"/>
      <c r="Q298" s="140"/>
      <c r="R298" s="68"/>
      <c r="S298" s="140"/>
      <c r="T298" s="140"/>
    </row>
    <row r="299" spans="1:20" s="71" customFormat="1" ht="45">
      <c r="A299" s="42" t="s">
        <v>564</v>
      </c>
      <c r="B299" s="40">
        <v>94274</v>
      </c>
      <c r="C299" s="40" t="s">
        <v>19</v>
      </c>
      <c r="D299" s="69" t="s">
        <v>565</v>
      </c>
      <c r="E299" s="42" t="s">
        <v>113</v>
      </c>
      <c r="F299" s="42">
        <f>TRUNC(K299,2)</f>
        <v>17.28</v>
      </c>
      <c r="G299" s="43">
        <f t="shared" si="38"/>
        <v>58.09</v>
      </c>
      <c r="H299" s="42">
        <f t="shared" si="39"/>
        <v>74.14</v>
      </c>
      <c r="I299" s="42">
        <f t="shared" si="40"/>
        <v>1281.1300000000001</v>
      </c>
      <c r="J299"/>
      <c r="K299" s="51">
        <f>9.48+7.8</f>
        <v>17.28</v>
      </c>
      <c r="L299" s="52">
        <v>58.09</v>
      </c>
      <c r="M299" s="60"/>
      <c r="N299" s="137"/>
      <c r="O299" s="138"/>
      <c r="P299" s="139"/>
      <c r="Q299" s="140"/>
      <c r="R299" s="68"/>
      <c r="S299" s="140"/>
      <c r="T299" s="140"/>
    </row>
    <row r="300" spans="1:20" s="50" customFormat="1" ht="45">
      <c r="A300" s="42" t="s">
        <v>566</v>
      </c>
      <c r="B300" s="41" t="s">
        <v>25</v>
      </c>
      <c r="C300" s="40" t="s">
        <v>567</v>
      </c>
      <c r="D300" s="41" t="s">
        <v>568</v>
      </c>
      <c r="E300" s="42" t="s">
        <v>113</v>
      </c>
      <c r="F300" s="42">
        <f>TRUNC(K300,2)</f>
        <v>139.91</v>
      </c>
      <c r="G300" s="43">
        <f t="shared" si="38"/>
        <v>130.66999999999999</v>
      </c>
      <c r="H300" s="42">
        <f t="shared" si="39"/>
        <v>166.77</v>
      </c>
      <c r="I300" s="42">
        <f t="shared" si="40"/>
        <v>23332.79</v>
      </c>
      <c r="J300"/>
      <c r="K300" s="99">
        <v>139.91</v>
      </c>
      <c r="L300" s="52">
        <v>130.66999999999999</v>
      </c>
      <c r="M300" s="60"/>
      <c r="N300" s="60"/>
      <c r="O300" s="47"/>
      <c r="P300" s="47"/>
      <c r="Q300" s="47"/>
      <c r="R300" s="48"/>
      <c r="S300" s="49"/>
      <c r="T300" s="70"/>
    </row>
    <row r="301" spans="1:20" s="111" customFormat="1">
      <c r="A301" s="38"/>
      <c r="B301" s="38"/>
      <c r="C301" s="38"/>
      <c r="D301" s="32" t="s">
        <v>36</v>
      </c>
      <c r="E301" s="38"/>
      <c r="F301" s="38"/>
      <c r="G301" s="38"/>
      <c r="H301" s="38"/>
      <c r="I301" s="38">
        <f>TRUNC(SUM(I293:I300),2)</f>
        <v>32198.89</v>
      </c>
      <c r="J301"/>
      <c r="K301" s="53"/>
      <c r="L301" s="35"/>
      <c r="M301" s="72"/>
      <c r="N301" s="141"/>
      <c r="O301" s="108"/>
      <c r="P301" s="142"/>
      <c r="Q301" s="108"/>
      <c r="R301" s="109"/>
      <c r="S301" s="110"/>
      <c r="T301" s="75"/>
    </row>
    <row r="302" spans="1:20" s="71" customFormat="1" ht="7.5" customHeight="1">
      <c r="A302" s="93"/>
      <c r="B302" s="94"/>
      <c r="C302" s="94"/>
      <c r="D302" s="143"/>
      <c r="E302" s="83"/>
      <c r="F302" s="51"/>
      <c r="G302" s="51"/>
      <c r="H302" s="59"/>
      <c r="I302" s="83"/>
      <c r="J302"/>
      <c r="K302" s="78"/>
      <c r="L302" s="52"/>
      <c r="M302" s="7"/>
      <c r="N302" s="7"/>
      <c r="O302" s="47"/>
      <c r="P302" s="126"/>
      <c r="Q302" s="47"/>
      <c r="R302" s="48"/>
      <c r="S302" s="70"/>
      <c r="T302" s="11"/>
    </row>
    <row r="303" spans="1:20" s="71" customFormat="1">
      <c r="A303" s="38" t="s">
        <v>569</v>
      </c>
      <c r="B303" s="38"/>
      <c r="C303" s="38"/>
      <c r="D303" s="32" t="s">
        <v>570</v>
      </c>
      <c r="E303" s="32"/>
      <c r="F303" s="38"/>
      <c r="G303" s="38"/>
      <c r="H303" s="32"/>
      <c r="I303" s="32"/>
      <c r="J303"/>
      <c r="K303" s="78"/>
      <c r="L303" s="52"/>
      <c r="M303" s="7"/>
      <c r="N303" s="7"/>
      <c r="O303" s="47"/>
      <c r="P303" s="126"/>
      <c r="Q303" s="47"/>
      <c r="R303" s="48"/>
      <c r="S303" s="70"/>
      <c r="T303" s="11"/>
    </row>
    <row r="304" spans="1:20" s="120" customFormat="1">
      <c r="A304" s="100" t="s">
        <v>571</v>
      </c>
      <c r="B304" s="100"/>
      <c r="C304" s="100"/>
      <c r="D304" s="100" t="s">
        <v>572</v>
      </c>
      <c r="E304" s="100"/>
      <c r="F304" s="100"/>
      <c r="G304" s="100"/>
      <c r="H304" s="100"/>
      <c r="I304" s="100"/>
      <c r="J304"/>
      <c r="K304" s="52"/>
      <c r="L304" s="52"/>
      <c r="M304" s="8"/>
      <c r="N304" s="8"/>
      <c r="O304" s="87"/>
      <c r="P304" s="144"/>
      <c r="Q304" s="87"/>
      <c r="R304" s="88"/>
      <c r="S304" s="90"/>
      <c r="T304" s="90"/>
    </row>
    <row r="305" spans="1:20" s="120" customFormat="1">
      <c r="A305" s="42" t="s">
        <v>571</v>
      </c>
      <c r="B305" s="40">
        <v>93358</v>
      </c>
      <c r="C305" s="40" t="s">
        <v>19</v>
      </c>
      <c r="D305" s="69" t="s">
        <v>573</v>
      </c>
      <c r="E305" s="42" t="s">
        <v>59</v>
      </c>
      <c r="F305" s="42">
        <v>7.9</v>
      </c>
      <c r="G305" s="43">
        <f t="shared" ref="G305:G318" si="41">L305</f>
        <v>63.37</v>
      </c>
      <c r="H305" s="42">
        <f t="shared" ref="H305:H318" si="42">TRUNC(L305*L$12,2)</f>
        <v>80.87</v>
      </c>
      <c r="I305" s="42">
        <f t="shared" ref="I305:I318" si="43">TRUNC(F305*H305,2)</f>
        <v>638.87</v>
      </c>
      <c r="J305"/>
      <c r="K305" s="51">
        <f>3.1*1*1.7+3.1*1*1.7/2</f>
        <v>7.9049999999999994</v>
      </c>
      <c r="L305" s="145">
        <v>63.37</v>
      </c>
      <c r="M305" s="8"/>
      <c r="N305" s="8"/>
      <c r="O305" s="87"/>
      <c r="P305" s="144"/>
      <c r="Q305" s="87"/>
      <c r="R305" s="88"/>
      <c r="S305" s="90"/>
      <c r="T305" s="90"/>
    </row>
    <row r="306" spans="1:20" s="120" customFormat="1" ht="45">
      <c r="A306" s="42" t="s">
        <v>574</v>
      </c>
      <c r="B306" s="40">
        <v>103328</v>
      </c>
      <c r="C306" s="40" t="s">
        <v>19</v>
      </c>
      <c r="D306" s="69" t="s">
        <v>110</v>
      </c>
      <c r="E306" s="42" t="s">
        <v>28</v>
      </c>
      <c r="F306" s="42">
        <f>TRUNC(K306,2)</f>
        <v>18.36</v>
      </c>
      <c r="G306" s="43">
        <f t="shared" si="41"/>
        <v>83.87</v>
      </c>
      <c r="H306" s="42">
        <f t="shared" si="42"/>
        <v>107.04</v>
      </c>
      <c r="I306" s="42">
        <f t="shared" si="43"/>
        <v>1965.25</v>
      </c>
      <c r="J306"/>
      <c r="K306" s="51">
        <f>3.1*1.7*2+3.1*1.7*2/2+1*1.7+1*1.7/2</f>
        <v>18.36</v>
      </c>
      <c r="L306" s="52">
        <v>83.87</v>
      </c>
      <c r="M306" s="8"/>
      <c r="N306" s="8"/>
      <c r="O306" s="87"/>
      <c r="P306" s="144"/>
      <c r="Q306" s="87"/>
      <c r="R306" s="88"/>
      <c r="S306" s="90"/>
      <c r="T306" s="90"/>
    </row>
    <row r="307" spans="1:20" s="120" customFormat="1" ht="33.75">
      <c r="A307" s="42" t="s">
        <v>575</v>
      </c>
      <c r="B307" s="40">
        <v>92411</v>
      </c>
      <c r="C307" s="40" t="s">
        <v>19</v>
      </c>
      <c r="D307" s="69" t="s">
        <v>100</v>
      </c>
      <c r="E307" s="42" t="s">
        <v>28</v>
      </c>
      <c r="F307" s="42">
        <v>23.52</v>
      </c>
      <c r="G307" s="43">
        <f t="shared" si="41"/>
        <v>170.17</v>
      </c>
      <c r="H307" s="42">
        <f t="shared" si="42"/>
        <v>217.18</v>
      </c>
      <c r="I307" s="42">
        <f t="shared" si="43"/>
        <v>5108.07</v>
      </c>
      <c r="J307"/>
      <c r="K307" s="51">
        <v>23.52</v>
      </c>
      <c r="L307" s="52">
        <v>170.17</v>
      </c>
      <c r="M307" s="8"/>
      <c r="N307" s="8"/>
      <c r="O307" s="87"/>
      <c r="P307" s="144"/>
      <c r="Q307" s="87"/>
      <c r="R307" s="88"/>
      <c r="S307" s="90"/>
      <c r="T307" s="90"/>
    </row>
    <row r="308" spans="1:20" s="120" customFormat="1" ht="22.5">
      <c r="A308" s="42" t="s">
        <v>576</v>
      </c>
      <c r="B308" s="40">
        <v>94971</v>
      </c>
      <c r="C308" s="40" t="s">
        <v>19</v>
      </c>
      <c r="D308" s="69" t="s">
        <v>82</v>
      </c>
      <c r="E308" s="42" t="s">
        <v>59</v>
      </c>
      <c r="F308" s="42">
        <f t="shared" ref="F308:F318" si="44">TRUNC(K308,2)</f>
        <v>1.08</v>
      </c>
      <c r="G308" s="43">
        <f t="shared" si="41"/>
        <v>521.88</v>
      </c>
      <c r="H308" s="42">
        <f t="shared" si="42"/>
        <v>666.07</v>
      </c>
      <c r="I308" s="42">
        <f t="shared" si="43"/>
        <v>719.35</v>
      </c>
      <c r="J308"/>
      <c r="K308" s="51">
        <f>6.2*0.15*0.3*2+4*0.15*0.3+0.15*0.3*0.5*2+1*6*0.05</f>
        <v>1.0830000000000002</v>
      </c>
      <c r="L308" s="52">
        <v>521.88</v>
      </c>
      <c r="M308" s="8"/>
      <c r="N308" s="8"/>
      <c r="O308" s="87"/>
      <c r="P308" s="144"/>
      <c r="Q308" s="87"/>
      <c r="R308" s="88"/>
      <c r="S308" s="90"/>
      <c r="T308" s="90"/>
    </row>
    <row r="309" spans="1:20" s="120" customFormat="1" ht="22.5">
      <c r="A309" s="42" t="s">
        <v>577</v>
      </c>
      <c r="B309" s="85">
        <v>103670</v>
      </c>
      <c r="C309" s="40" t="s">
        <v>19</v>
      </c>
      <c r="D309" s="69" t="s">
        <v>84</v>
      </c>
      <c r="E309" s="42" t="s">
        <v>59</v>
      </c>
      <c r="F309" s="42">
        <f t="shared" si="44"/>
        <v>1.08</v>
      </c>
      <c r="G309" s="43">
        <f t="shared" si="41"/>
        <v>218.17</v>
      </c>
      <c r="H309" s="42">
        <f t="shared" si="42"/>
        <v>278.45</v>
      </c>
      <c r="I309" s="42">
        <f t="shared" si="43"/>
        <v>300.72000000000003</v>
      </c>
      <c r="J309"/>
      <c r="K309" s="52">
        <f>K308</f>
        <v>1.0830000000000002</v>
      </c>
      <c r="L309" s="52">
        <v>218.17</v>
      </c>
      <c r="M309" s="8"/>
      <c r="N309" s="8"/>
      <c r="O309" s="87"/>
      <c r="P309" s="144"/>
      <c r="Q309" s="87"/>
      <c r="R309" s="88"/>
      <c r="S309" s="90"/>
      <c r="T309" s="90"/>
    </row>
    <row r="310" spans="1:20" s="120" customFormat="1" ht="33.75">
      <c r="A310" s="42" t="s">
        <v>578</v>
      </c>
      <c r="B310" s="40">
        <v>92762</v>
      </c>
      <c r="C310" s="40" t="s">
        <v>19</v>
      </c>
      <c r="D310" s="69" t="s">
        <v>102</v>
      </c>
      <c r="E310" s="42" t="s">
        <v>90</v>
      </c>
      <c r="F310" s="42">
        <f t="shared" si="44"/>
        <v>60.64</v>
      </c>
      <c r="G310" s="43">
        <f t="shared" si="41"/>
        <v>15.29</v>
      </c>
      <c r="H310" s="42">
        <f t="shared" si="42"/>
        <v>19.510000000000002</v>
      </c>
      <c r="I310" s="42">
        <f t="shared" si="43"/>
        <v>1183.08</v>
      </c>
      <c r="J310"/>
      <c r="K310" s="51">
        <f>K308*80*0.7</f>
        <v>60.648000000000003</v>
      </c>
      <c r="L310" s="52">
        <v>15.29</v>
      </c>
      <c r="M310" s="8"/>
      <c r="N310" s="8"/>
      <c r="O310" s="87"/>
      <c r="P310" s="144"/>
      <c r="Q310" s="87"/>
      <c r="R310" s="88"/>
      <c r="S310" s="90"/>
      <c r="T310" s="90"/>
    </row>
    <row r="311" spans="1:20" s="120" customFormat="1" ht="33.75">
      <c r="A311" s="42" t="s">
        <v>579</v>
      </c>
      <c r="B311" s="40">
        <v>92759</v>
      </c>
      <c r="C311" s="40" t="s">
        <v>19</v>
      </c>
      <c r="D311" s="69" t="s">
        <v>104</v>
      </c>
      <c r="E311" s="42" t="s">
        <v>90</v>
      </c>
      <c r="F311" s="42">
        <f t="shared" si="44"/>
        <v>25.99</v>
      </c>
      <c r="G311" s="43">
        <f t="shared" si="41"/>
        <v>16.899999999999999</v>
      </c>
      <c r="H311" s="42">
        <f t="shared" si="42"/>
        <v>21.56</v>
      </c>
      <c r="I311" s="42">
        <f t="shared" si="43"/>
        <v>560.34</v>
      </c>
      <c r="J311"/>
      <c r="K311" s="51">
        <f>K308*80*0.3</f>
        <v>25.992000000000004</v>
      </c>
      <c r="L311" s="52">
        <v>16.899999999999999</v>
      </c>
      <c r="M311" s="8"/>
      <c r="N311" s="8"/>
      <c r="O311" s="87"/>
      <c r="P311" s="144"/>
      <c r="Q311" s="87"/>
      <c r="R311" s="88"/>
      <c r="S311" s="90"/>
      <c r="T311" s="90"/>
    </row>
    <row r="312" spans="1:20" s="120" customFormat="1" ht="45">
      <c r="A312" s="42" t="s">
        <v>580</v>
      </c>
      <c r="B312" s="40">
        <v>87879</v>
      </c>
      <c r="C312" s="40" t="s">
        <v>19</v>
      </c>
      <c r="D312" s="69" t="s">
        <v>159</v>
      </c>
      <c r="E312" s="42" t="s">
        <v>28</v>
      </c>
      <c r="F312" s="42">
        <f t="shared" si="44"/>
        <v>15.81</v>
      </c>
      <c r="G312" s="43">
        <f t="shared" si="41"/>
        <v>3.83</v>
      </c>
      <c r="H312" s="42">
        <f t="shared" si="42"/>
        <v>4.88</v>
      </c>
      <c r="I312" s="42">
        <f t="shared" si="43"/>
        <v>77.150000000000006</v>
      </c>
      <c r="J312"/>
      <c r="K312" s="51">
        <f>3.1*1.7*2+3.1*1.7/2*2</f>
        <v>15.809999999999999</v>
      </c>
      <c r="L312" s="52">
        <v>3.83</v>
      </c>
      <c r="M312" s="8"/>
      <c r="N312" s="8"/>
      <c r="O312" s="87"/>
      <c r="P312" s="144"/>
      <c r="Q312" s="87"/>
      <c r="R312" s="88"/>
      <c r="S312" s="90"/>
      <c r="T312" s="90"/>
    </row>
    <row r="313" spans="1:20" s="120" customFormat="1" ht="56.25">
      <c r="A313" s="42" t="s">
        <v>581</v>
      </c>
      <c r="B313" s="40" t="s">
        <v>161</v>
      </c>
      <c r="C313" s="40" t="s">
        <v>19</v>
      </c>
      <c r="D313" s="69" t="s">
        <v>162</v>
      </c>
      <c r="E313" s="42" t="s">
        <v>28</v>
      </c>
      <c r="F313" s="42">
        <f t="shared" si="44"/>
        <v>15.81</v>
      </c>
      <c r="G313" s="43">
        <f t="shared" si="41"/>
        <v>32.26</v>
      </c>
      <c r="H313" s="42">
        <f t="shared" si="42"/>
        <v>41.17</v>
      </c>
      <c r="I313" s="42">
        <f t="shared" si="43"/>
        <v>650.89</v>
      </c>
      <c r="J313"/>
      <c r="K313" s="51">
        <f>3.1*1.7*2+3.1*1.7/2*2</f>
        <v>15.809999999999999</v>
      </c>
      <c r="L313" s="52">
        <v>32.26</v>
      </c>
      <c r="M313" s="8"/>
      <c r="N313" s="8"/>
      <c r="O313" s="87"/>
      <c r="P313" s="144"/>
      <c r="Q313" s="87"/>
      <c r="R313" s="88"/>
      <c r="S313" s="90"/>
      <c r="T313" s="90"/>
    </row>
    <row r="314" spans="1:20" s="120" customFormat="1" ht="22.5">
      <c r="A314" s="42" t="s">
        <v>582</v>
      </c>
      <c r="B314" s="40" t="s">
        <v>201</v>
      </c>
      <c r="C314" s="40" t="s">
        <v>19</v>
      </c>
      <c r="D314" s="41" t="s">
        <v>202</v>
      </c>
      <c r="E314" s="42" t="s">
        <v>28</v>
      </c>
      <c r="F314" s="42">
        <f t="shared" si="44"/>
        <v>15.81</v>
      </c>
      <c r="G314" s="43">
        <f t="shared" si="41"/>
        <v>13.71</v>
      </c>
      <c r="H314" s="42">
        <f t="shared" si="42"/>
        <v>17.489999999999998</v>
      </c>
      <c r="I314" s="42">
        <f t="shared" si="43"/>
        <v>276.51</v>
      </c>
      <c r="J314"/>
      <c r="K314" s="51">
        <f>3.1*1.7*2+3.1*1.7/2*2</f>
        <v>15.809999999999999</v>
      </c>
      <c r="L314" s="52">
        <v>13.71</v>
      </c>
      <c r="M314" s="8"/>
      <c r="N314" s="8"/>
      <c r="O314" s="87"/>
      <c r="P314" s="144"/>
      <c r="Q314" s="87"/>
      <c r="R314" s="88"/>
      <c r="S314" s="90"/>
      <c r="T314" s="90"/>
    </row>
    <row r="315" spans="1:20" s="120" customFormat="1" ht="22.5">
      <c r="A315" s="42" t="s">
        <v>583</v>
      </c>
      <c r="B315" s="40">
        <v>98563</v>
      </c>
      <c r="C315" s="40" t="s">
        <v>19</v>
      </c>
      <c r="D315" s="41" t="s">
        <v>584</v>
      </c>
      <c r="E315" s="42" t="s">
        <v>28</v>
      </c>
      <c r="F315" s="42">
        <f t="shared" si="44"/>
        <v>5.4</v>
      </c>
      <c r="G315" s="43">
        <f t="shared" si="41"/>
        <v>33.65</v>
      </c>
      <c r="H315" s="42">
        <f t="shared" si="42"/>
        <v>42.94</v>
      </c>
      <c r="I315" s="42">
        <f t="shared" si="43"/>
        <v>231.87</v>
      </c>
      <c r="J315"/>
      <c r="K315" s="51">
        <v>5.4</v>
      </c>
      <c r="L315" s="52">
        <v>33.65</v>
      </c>
      <c r="M315" s="8"/>
      <c r="N315" s="8"/>
      <c r="O315" s="87"/>
      <c r="P315" s="144"/>
      <c r="Q315" s="87"/>
      <c r="R315" s="88"/>
      <c r="S315" s="90"/>
      <c r="T315" s="90"/>
    </row>
    <row r="316" spans="1:20" s="120" customFormat="1" ht="22.5">
      <c r="A316" s="42" t="s">
        <v>585</v>
      </c>
      <c r="B316" s="40">
        <v>98564</v>
      </c>
      <c r="C316" s="40" t="s">
        <v>19</v>
      </c>
      <c r="D316" s="41" t="s">
        <v>586</v>
      </c>
      <c r="E316" s="42" t="s">
        <v>28</v>
      </c>
      <c r="F316" s="42">
        <f t="shared" si="44"/>
        <v>10.41</v>
      </c>
      <c r="G316" s="43">
        <f t="shared" si="41"/>
        <v>49.52</v>
      </c>
      <c r="H316" s="42">
        <f t="shared" si="42"/>
        <v>63.2</v>
      </c>
      <c r="I316" s="42">
        <f t="shared" si="43"/>
        <v>657.91</v>
      </c>
      <c r="J316"/>
      <c r="K316" s="51">
        <v>10.41</v>
      </c>
      <c r="L316" s="52">
        <v>49.52</v>
      </c>
      <c r="M316" s="8"/>
      <c r="N316" s="8"/>
      <c r="O316" s="87"/>
      <c r="P316" s="144"/>
      <c r="Q316" s="87"/>
      <c r="R316" s="88"/>
      <c r="S316" s="90"/>
      <c r="T316" s="90"/>
    </row>
    <row r="317" spans="1:20" s="120" customFormat="1" ht="22.5">
      <c r="A317" s="42" t="s">
        <v>587</v>
      </c>
      <c r="B317" s="40">
        <v>98553</v>
      </c>
      <c r="C317" s="40" t="s">
        <v>19</v>
      </c>
      <c r="D317" s="41" t="s">
        <v>588</v>
      </c>
      <c r="E317" s="42" t="s">
        <v>28</v>
      </c>
      <c r="F317" s="42">
        <f t="shared" si="44"/>
        <v>15.81</v>
      </c>
      <c r="G317" s="43">
        <f t="shared" si="41"/>
        <v>149.82</v>
      </c>
      <c r="H317" s="42">
        <f t="shared" si="42"/>
        <v>191.21</v>
      </c>
      <c r="I317" s="42">
        <f t="shared" si="43"/>
        <v>3023.03</v>
      </c>
      <c r="J317"/>
      <c r="K317" s="51">
        <v>15.81</v>
      </c>
      <c r="L317" s="52">
        <v>149.82</v>
      </c>
      <c r="M317" s="8"/>
      <c r="N317" s="8"/>
      <c r="O317" s="87"/>
      <c r="P317" s="144"/>
      <c r="Q317" s="87"/>
      <c r="R317" s="88"/>
      <c r="S317" s="90"/>
      <c r="T317" s="90"/>
    </row>
    <row r="318" spans="1:20" s="120" customFormat="1" ht="33.75">
      <c r="A318" s="42" t="s">
        <v>589</v>
      </c>
      <c r="B318" s="40" t="s">
        <v>25</v>
      </c>
      <c r="C318" s="40" t="s">
        <v>590</v>
      </c>
      <c r="D318" s="69" t="s">
        <v>591</v>
      </c>
      <c r="E318" s="112" t="s">
        <v>32</v>
      </c>
      <c r="F318" s="42">
        <f t="shared" si="44"/>
        <v>1</v>
      </c>
      <c r="G318" s="43">
        <f t="shared" si="41"/>
        <v>1850.69</v>
      </c>
      <c r="H318" s="42">
        <f t="shared" si="42"/>
        <v>2362.0300000000002</v>
      </c>
      <c r="I318" s="42">
        <f t="shared" si="43"/>
        <v>2362.0300000000002</v>
      </c>
      <c r="J318"/>
      <c r="K318" s="51">
        <v>1</v>
      </c>
      <c r="L318" s="145">
        <v>1850.69</v>
      </c>
      <c r="M318" s="8"/>
      <c r="N318" s="8"/>
      <c r="O318" s="87"/>
      <c r="P318" s="144"/>
      <c r="Q318" s="87"/>
      <c r="R318" s="88"/>
      <c r="S318" s="90"/>
      <c r="T318" s="90"/>
    </row>
    <row r="319" spans="1:20" s="71" customFormat="1">
      <c r="A319" s="38"/>
      <c r="B319" s="38"/>
      <c r="C319" s="38"/>
      <c r="D319" s="32" t="s">
        <v>36</v>
      </c>
      <c r="E319" s="38"/>
      <c r="F319" s="38"/>
      <c r="G319" s="38"/>
      <c r="H319" s="38"/>
      <c r="I319" s="38">
        <f>TRUNC(SUM(I305:I318),2)</f>
        <v>17755.07</v>
      </c>
      <c r="J319"/>
      <c r="K319" s="78"/>
      <c r="L319" s="52"/>
      <c r="M319" s="7"/>
      <c r="N319" s="7"/>
      <c r="O319" s="47"/>
      <c r="P319" s="126"/>
      <c r="Q319" s="47"/>
      <c r="R319" s="48"/>
      <c r="S319" s="70"/>
      <c r="T319" s="11"/>
    </row>
    <row r="320" spans="1:20" s="71" customFormat="1" ht="7.5" customHeight="1">
      <c r="A320" s="93"/>
      <c r="B320" s="94"/>
      <c r="C320" s="94"/>
      <c r="D320" s="146"/>
      <c r="E320" s="83"/>
      <c r="F320" s="79"/>
      <c r="G320" s="79"/>
      <c r="H320" s="59"/>
      <c r="I320" s="83"/>
      <c r="J320"/>
      <c r="K320" s="78"/>
      <c r="L320" s="52"/>
      <c r="M320" s="7"/>
      <c r="N320" s="7"/>
      <c r="O320" s="47"/>
      <c r="P320" s="126"/>
      <c r="Q320" s="47"/>
      <c r="R320" s="48"/>
      <c r="S320" s="70"/>
      <c r="T320" s="11"/>
    </row>
    <row r="321" spans="1:20" s="71" customFormat="1">
      <c r="A321" s="38" t="s">
        <v>592</v>
      </c>
      <c r="B321" s="38"/>
      <c r="C321" s="38"/>
      <c r="D321" s="32" t="s">
        <v>593</v>
      </c>
      <c r="E321" s="32"/>
      <c r="F321" s="38"/>
      <c r="G321" s="38"/>
      <c r="H321" s="32"/>
      <c r="I321" s="32"/>
      <c r="J321"/>
      <c r="K321" s="78"/>
      <c r="L321" s="52"/>
      <c r="M321" s="7"/>
      <c r="N321" s="7"/>
      <c r="O321" s="47"/>
      <c r="P321" s="126"/>
      <c r="Q321" s="47"/>
      <c r="R321" s="48"/>
      <c r="S321" s="70"/>
      <c r="T321" s="11"/>
    </row>
    <row r="322" spans="1:20" s="124" customFormat="1" ht="22.5">
      <c r="A322" s="84" t="s">
        <v>594</v>
      </c>
      <c r="B322" s="40">
        <v>99803</v>
      </c>
      <c r="C322" s="40" t="s">
        <v>19</v>
      </c>
      <c r="D322" s="69" t="s">
        <v>595</v>
      </c>
      <c r="E322" s="42" t="s">
        <v>28</v>
      </c>
      <c r="F322" s="42">
        <f>TRUNC(K322,2)</f>
        <v>246.43</v>
      </c>
      <c r="G322" s="43">
        <f>L322</f>
        <v>1.55</v>
      </c>
      <c r="H322" s="42">
        <f>TRUNC(L322*L$12,2)</f>
        <v>1.97</v>
      </c>
      <c r="I322" s="145">
        <f>TRUNC(F322*H322,2)</f>
        <v>485.46</v>
      </c>
      <c r="J322"/>
      <c r="K322" s="51">
        <v>246.43</v>
      </c>
      <c r="L322" s="52">
        <v>1.55</v>
      </c>
      <c r="M322" s="60"/>
      <c r="N322" s="60"/>
      <c r="O322" s="108"/>
      <c r="P322" s="108"/>
      <c r="Q322" s="108"/>
      <c r="R322" s="109"/>
      <c r="S322" s="108"/>
      <c r="T322" s="108"/>
    </row>
    <row r="323" spans="1:20" s="111" customFormat="1">
      <c r="A323" s="38"/>
      <c r="B323" s="32"/>
      <c r="C323" s="32"/>
      <c r="D323" s="32" t="s">
        <v>36</v>
      </c>
      <c r="E323" s="32"/>
      <c r="F323" s="32"/>
      <c r="G323" s="33"/>
      <c r="H323" s="32"/>
      <c r="I323" s="32">
        <f>TRUNC(SUM(I322:I322),2)</f>
        <v>485.46</v>
      </c>
      <c r="J323"/>
      <c r="K323" s="53"/>
      <c r="L323" s="35"/>
      <c r="M323" s="72"/>
      <c r="N323" s="72"/>
      <c r="O323" s="108"/>
      <c r="P323" s="142"/>
      <c r="Q323" s="108"/>
      <c r="R323" s="109"/>
      <c r="S323" s="110"/>
      <c r="T323" s="75"/>
    </row>
    <row r="324" spans="1:20" s="71" customFormat="1" ht="8.25" customHeight="1">
      <c r="A324" s="93"/>
      <c r="B324" s="147"/>
      <c r="C324" s="147"/>
      <c r="D324" s="143"/>
      <c r="E324" s="83"/>
      <c r="F324" s="51"/>
      <c r="G324" s="51"/>
      <c r="H324" s="59"/>
      <c r="I324" s="83"/>
      <c r="J324"/>
      <c r="K324" s="78"/>
      <c r="L324" s="52"/>
      <c r="M324" s="7"/>
      <c r="N324" s="7"/>
      <c r="O324" s="47"/>
      <c r="P324" s="126"/>
      <c r="Q324" s="47"/>
      <c r="R324" s="48"/>
      <c r="S324" s="70"/>
      <c r="T324" s="11"/>
    </row>
    <row r="325" spans="1:20" s="111" customFormat="1">
      <c r="A325" s="32"/>
      <c r="B325" s="32"/>
      <c r="C325" s="32"/>
      <c r="D325" s="32" t="s">
        <v>596</v>
      </c>
      <c r="E325" s="32"/>
      <c r="F325" s="32"/>
      <c r="G325" s="33"/>
      <c r="H325" s="32"/>
      <c r="I325" s="32">
        <f>SUM(I17:I323,2)/2-1</f>
        <v>627301.57000000041</v>
      </c>
      <c r="J325"/>
      <c r="K325" s="53"/>
      <c r="L325" s="35"/>
      <c r="M325" s="72"/>
      <c r="N325" s="72"/>
      <c r="O325" s="110"/>
      <c r="P325" s="148"/>
      <c r="Q325" s="110"/>
      <c r="R325" s="149"/>
      <c r="S325" s="110"/>
      <c r="T325" s="75"/>
    </row>
    <row r="326" spans="1:20">
      <c r="L326" s="151"/>
    </row>
    <row r="327" spans="1:20" ht="32.25" customHeight="1">
      <c r="A327" s="161" t="s">
        <v>597</v>
      </c>
      <c r="B327" s="161"/>
      <c r="C327" s="161"/>
      <c r="D327" s="161"/>
      <c r="E327" s="161"/>
      <c r="F327" s="161"/>
      <c r="G327" s="161"/>
      <c r="H327" s="161"/>
      <c r="I327" s="161"/>
      <c r="K327" s="152"/>
      <c r="L327" s="153"/>
      <c r="M327" s="152"/>
      <c r="N327" s="152"/>
    </row>
    <row r="329" spans="1:20">
      <c r="I329" s="154"/>
    </row>
  </sheetData>
  <mergeCells count="10">
    <mergeCell ref="F13:I13"/>
    <mergeCell ref="F14:I14"/>
    <mergeCell ref="A327:I327"/>
    <mergeCell ref="A8:I8"/>
    <mergeCell ref="F9:I9"/>
    <mergeCell ref="A10:D10"/>
    <mergeCell ref="A11:D11"/>
    <mergeCell ref="F11:I11"/>
    <mergeCell ref="A12:D12"/>
    <mergeCell ref="F12:I12"/>
  </mergeCells>
  <pageMargins left="0.35000000000000003" right="0.17007874015748004" top="1.3153543307086608" bottom="1.025196850393701" header="1.0200787401574798" footer="0.7299212598425201"/>
  <pageSetup paperSize="0" scale="70" fitToWidth="0" fitToHeight="0" pageOrder="overThenDown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2"/>
  <sheetViews>
    <sheetView workbookViewId="0"/>
  </sheetViews>
  <sheetFormatPr defaultRowHeight="14.25"/>
  <cols>
    <col min="1" max="1" width="4.5" bestFit="1" customWidth="1"/>
    <col min="2" max="2" width="28" customWidth="1"/>
    <col min="3" max="3" width="5.5" style="184" bestFit="1" customWidth="1"/>
    <col min="4" max="4" width="6.875" style="11" bestFit="1" customWidth="1"/>
    <col min="5" max="5" width="4.125" style="71" bestFit="1" customWidth="1"/>
    <col min="6" max="6" width="6" style="11" bestFit="1" customWidth="1"/>
    <col min="7" max="7" width="4.125" style="176" bestFit="1" customWidth="1"/>
    <col min="8" max="8" width="6" style="9" bestFit="1" customWidth="1"/>
    <col min="9" max="9" width="4.75" style="9" bestFit="1" customWidth="1"/>
    <col min="10" max="10" width="6.625" style="9" bestFit="1" customWidth="1"/>
    <col min="11" max="11" width="4.75" style="9" bestFit="1" customWidth="1"/>
    <col min="12" max="12" width="6.625" style="9" bestFit="1" customWidth="1"/>
    <col min="13" max="13" width="5.875" style="176" customWidth="1"/>
    <col min="14" max="14" width="9.375" style="9" customWidth="1"/>
    <col min="15" max="15" width="5.5" style="176" bestFit="1" customWidth="1"/>
    <col min="16" max="16" width="7.125" style="9" customWidth="1"/>
    <col min="17" max="17" width="6.625" style="11" bestFit="1" customWidth="1"/>
    <col min="18" max="18" width="8.375" customWidth="1"/>
    <col min="19" max="19" width="13.375" style="209" customWidth="1"/>
    <col min="20" max="20" width="8.5" style="169" customWidth="1"/>
    <col min="21" max="21" width="8" bestFit="1" customWidth="1"/>
    <col min="22" max="1028" width="8.375" customWidth="1"/>
    <col min="1029" max="1029" width="9" customWidth="1"/>
  </cols>
  <sheetData>
    <row r="1" spans="1:20">
      <c r="A1" s="162"/>
      <c r="B1" s="163"/>
      <c r="C1" s="163"/>
      <c r="D1" s="163"/>
      <c r="E1" s="164"/>
      <c r="F1" s="163"/>
      <c r="G1" s="165"/>
      <c r="H1" s="166"/>
      <c r="I1" s="166"/>
      <c r="J1" s="166"/>
      <c r="K1" s="166"/>
      <c r="L1" s="166"/>
      <c r="M1" s="165"/>
      <c r="N1" s="166"/>
      <c r="O1" s="165"/>
      <c r="P1" s="166"/>
      <c r="Q1" s="167"/>
      <c r="S1" s="168"/>
    </row>
    <row r="2" spans="1:20">
      <c r="A2" s="170"/>
      <c r="B2" s="9"/>
      <c r="C2" s="9"/>
      <c r="D2" s="9"/>
      <c r="E2" s="47"/>
      <c r="F2" s="9"/>
      <c r="G2" s="171"/>
      <c r="H2" s="172"/>
      <c r="I2" s="172"/>
      <c r="J2" s="172"/>
      <c r="K2" s="172"/>
      <c r="L2" s="172"/>
      <c r="M2" s="171"/>
      <c r="N2" s="172"/>
      <c r="O2" s="171"/>
      <c r="P2" s="172"/>
      <c r="Q2" s="173"/>
      <c r="S2" s="168"/>
    </row>
    <row r="3" spans="1:20">
      <c r="A3" s="170"/>
      <c r="B3" s="9"/>
      <c r="C3" s="9"/>
      <c r="D3" s="9"/>
      <c r="E3" s="47"/>
      <c r="F3" s="9"/>
      <c r="G3" s="171"/>
      <c r="H3" s="172"/>
      <c r="I3" s="172"/>
      <c r="J3" s="172"/>
      <c r="K3" s="172"/>
      <c r="L3" s="172"/>
      <c r="M3" s="171"/>
      <c r="N3" s="172"/>
      <c r="O3" s="171"/>
      <c r="P3" s="172"/>
      <c r="Q3" s="173"/>
      <c r="S3" s="168"/>
    </row>
    <row r="4" spans="1:20">
      <c r="A4" s="170"/>
      <c r="B4" s="9"/>
      <c r="C4" s="9"/>
      <c r="D4" s="9"/>
      <c r="E4" s="47"/>
      <c r="F4" s="9"/>
      <c r="G4" s="171"/>
      <c r="H4" s="172"/>
      <c r="I4" s="172"/>
      <c r="J4" s="172"/>
      <c r="K4" s="172"/>
      <c r="L4" s="172"/>
      <c r="M4" s="171"/>
      <c r="N4" s="172"/>
      <c r="O4" s="171"/>
      <c r="P4" s="172"/>
      <c r="Q4" s="173"/>
      <c r="S4" s="168"/>
    </row>
    <row r="5" spans="1:20" ht="24.75" customHeight="1" thickBot="1">
      <c r="A5" s="174"/>
      <c r="B5" s="24"/>
      <c r="C5" s="24"/>
      <c r="D5" s="24"/>
      <c r="E5" s="175"/>
      <c r="F5" s="24"/>
      <c r="Q5" s="173"/>
      <c r="S5" s="168"/>
    </row>
    <row r="6" spans="1:20" ht="18.75" customHeight="1" thickBot="1">
      <c r="A6" s="236" t="s">
        <v>598</v>
      </c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S6" s="168"/>
    </row>
    <row r="7" spans="1:20" ht="7.5" customHeight="1">
      <c r="A7" s="174"/>
      <c r="B7" s="24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8"/>
      <c r="P7" s="177"/>
      <c r="Q7" s="173"/>
      <c r="S7" s="168"/>
    </row>
    <row r="8" spans="1:20" ht="15">
      <c r="A8" s="179"/>
      <c r="B8" s="180" t="s">
        <v>599</v>
      </c>
      <c r="C8" s="180"/>
      <c r="D8" s="181"/>
      <c r="E8" s="182"/>
      <c r="F8" s="181"/>
      <c r="G8" s="183"/>
      <c r="H8" s="181"/>
      <c r="I8" s="181"/>
      <c r="J8" s="181"/>
      <c r="K8" s="181"/>
      <c r="L8" s="181"/>
      <c r="M8" s="183"/>
      <c r="N8" s="181"/>
      <c r="O8" s="183"/>
      <c r="P8" s="181"/>
      <c r="Q8" s="173"/>
      <c r="S8" s="168"/>
    </row>
    <row r="9" spans="1:20" ht="15">
      <c r="A9" s="179"/>
      <c r="B9" s="181" t="s">
        <v>600</v>
      </c>
      <c r="N9" s="9" t="s">
        <v>3</v>
      </c>
      <c r="Q9" s="173"/>
      <c r="S9" s="168"/>
    </row>
    <row r="10" spans="1:20" ht="15">
      <c r="A10" s="179"/>
      <c r="B10" s="181" t="s">
        <v>601</v>
      </c>
      <c r="C10" s="181"/>
      <c r="D10" s="181"/>
      <c r="E10" s="182"/>
      <c r="F10" s="181"/>
      <c r="G10" s="183"/>
      <c r="H10" s="181"/>
      <c r="I10" s="181"/>
      <c r="J10" s="181"/>
      <c r="K10" s="181"/>
      <c r="L10" s="181"/>
      <c r="M10" s="9"/>
      <c r="N10" s="9" t="s">
        <v>5</v>
      </c>
      <c r="O10" s="9"/>
      <c r="P10" s="181"/>
      <c r="Q10" s="173"/>
      <c r="S10" s="168"/>
    </row>
    <row r="11" spans="1:20" ht="9" customHeight="1">
      <c r="A11" s="185"/>
      <c r="B11" s="186"/>
      <c r="C11" s="186"/>
      <c r="D11" s="186"/>
      <c r="E11" s="187"/>
      <c r="F11" s="186"/>
      <c r="G11" s="188"/>
      <c r="H11" s="189"/>
      <c r="I11" s="189"/>
      <c r="J11" s="189"/>
      <c r="K11" s="189"/>
      <c r="L11" s="189"/>
      <c r="M11" s="188"/>
      <c r="N11" s="189"/>
      <c r="O11" s="188"/>
      <c r="P11" s="189"/>
      <c r="Q11" s="190"/>
      <c r="S11" s="168"/>
    </row>
    <row r="12" spans="1:20" s="192" customFormat="1" ht="13.5" thickBot="1">
      <c r="A12" s="237" t="s">
        <v>6</v>
      </c>
      <c r="B12" s="238" t="s">
        <v>602</v>
      </c>
      <c r="C12" s="191" t="s">
        <v>603</v>
      </c>
      <c r="D12" s="239" t="s">
        <v>604</v>
      </c>
      <c r="E12" s="240" t="s">
        <v>605</v>
      </c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1" t="s">
        <v>606</v>
      </c>
      <c r="S12" s="37"/>
      <c r="T12" s="193"/>
    </row>
    <row r="13" spans="1:20" s="192" customFormat="1" ht="13.5" thickBot="1">
      <c r="A13" s="237"/>
      <c r="B13" s="238"/>
      <c r="C13" s="194" t="s">
        <v>6</v>
      </c>
      <c r="D13" s="239"/>
      <c r="E13" s="195" t="s">
        <v>603</v>
      </c>
      <c r="F13" s="196" t="s">
        <v>607</v>
      </c>
      <c r="G13" s="197" t="s">
        <v>603</v>
      </c>
      <c r="H13" s="198" t="s">
        <v>608</v>
      </c>
      <c r="I13" s="199" t="s">
        <v>603</v>
      </c>
      <c r="J13" s="198" t="s">
        <v>609</v>
      </c>
      <c r="K13" s="199" t="s">
        <v>603</v>
      </c>
      <c r="L13" s="198" t="s">
        <v>610</v>
      </c>
      <c r="M13" s="199" t="s">
        <v>603</v>
      </c>
      <c r="N13" s="198" t="s">
        <v>611</v>
      </c>
      <c r="O13" s="199" t="s">
        <v>603</v>
      </c>
      <c r="P13" s="198" t="s">
        <v>612</v>
      </c>
      <c r="Q13" s="241"/>
      <c r="S13" s="37"/>
      <c r="T13" s="193"/>
    </row>
    <row r="14" spans="1:20" s="208" customFormat="1" ht="4.5" customHeight="1" thickBot="1">
      <c r="A14" s="200"/>
      <c r="B14" s="201"/>
      <c r="C14" s="202"/>
      <c r="D14" s="203"/>
      <c r="E14" s="204"/>
      <c r="F14" s="205"/>
      <c r="G14" s="206"/>
      <c r="H14" s="205"/>
      <c r="I14" s="205"/>
      <c r="J14" s="205"/>
      <c r="K14" s="205"/>
      <c r="L14" s="205"/>
      <c r="M14" s="206"/>
      <c r="N14" s="205"/>
      <c r="O14" s="206"/>
      <c r="P14" s="205"/>
      <c r="Q14" s="207"/>
      <c r="S14" s="209"/>
      <c r="T14" s="202"/>
    </row>
    <row r="15" spans="1:20" s="208" customFormat="1" ht="13.5" thickBot="1">
      <c r="A15" s="210" t="s">
        <v>14</v>
      </c>
      <c r="B15" s="211" t="str">
        <f>orcam!D16</f>
        <v>SERVIÇOS PRELIMINARES</v>
      </c>
      <c r="C15" s="212">
        <f>D15/D52</f>
        <v>0.11110200154608255</v>
      </c>
      <c r="D15" s="211">
        <f>orcam!I22</f>
        <v>69694.460000000006</v>
      </c>
      <c r="E15" s="213">
        <v>0.16</v>
      </c>
      <c r="F15" s="214">
        <f>E15*D15</f>
        <v>11151.113600000001</v>
      </c>
      <c r="G15" s="213">
        <v>0.16</v>
      </c>
      <c r="H15" s="214">
        <f>G15*D15</f>
        <v>11151.113600000001</v>
      </c>
      <c r="I15" s="213">
        <v>0.16</v>
      </c>
      <c r="J15" s="214">
        <f>D15*I15</f>
        <v>11151.113600000001</v>
      </c>
      <c r="K15" s="213">
        <v>0.16</v>
      </c>
      <c r="L15" s="214">
        <f>K15*D15</f>
        <v>11151.113600000001</v>
      </c>
      <c r="M15" s="213">
        <v>0.16</v>
      </c>
      <c r="N15" s="214">
        <f>M15*D15</f>
        <v>11151.113600000001</v>
      </c>
      <c r="O15" s="215">
        <v>0.2</v>
      </c>
      <c r="P15" s="214">
        <f>O15*D15</f>
        <v>13938.892000000002</v>
      </c>
      <c r="Q15" s="216">
        <f>TRUNC(F15+H15+J15+L15+N15+P15,2)</f>
        <v>69694.460000000006</v>
      </c>
      <c r="R15" s="217"/>
      <c r="S15" s="9"/>
      <c r="T15" s="202"/>
    </row>
    <row r="16" spans="1:20" s="208" customFormat="1" ht="6" customHeight="1">
      <c r="A16" s="210"/>
      <c r="B16" s="211"/>
      <c r="C16" s="212"/>
      <c r="D16" s="211"/>
      <c r="E16" s="218"/>
      <c r="F16" s="219"/>
      <c r="G16" s="218"/>
      <c r="H16" s="219"/>
      <c r="I16" s="219"/>
      <c r="J16" s="219"/>
      <c r="K16" s="218"/>
      <c r="L16" s="219"/>
      <c r="M16" s="219"/>
      <c r="N16" s="219"/>
      <c r="O16" s="220"/>
      <c r="P16" s="219"/>
      <c r="Q16" s="216"/>
      <c r="S16" s="9"/>
      <c r="T16" s="202"/>
    </row>
    <row r="17" spans="1:21" s="208" customFormat="1" ht="12.75">
      <c r="A17" s="221" t="s">
        <v>37</v>
      </c>
      <c r="B17" s="211" t="str">
        <f>orcam!D24</f>
        <v>RETIRADAS E DEMOLIÇÕES</v>
      </c>
      <c r="C17" s="212">
        <f>D17/D52</f>
        <v>1.9368180443100121E-2</v>
      </c>
      <c r="D17" s="211">
        <f>orcam!I38</f>
        <v>12149.69</v>
      </c>
      <c r="E17" s="213">
        <v>1</v>
      </c>
      <c r="F17" s="222">
        <f>E17*D17</f>
        <v>12149.69</v>
      </c>
      <c r="G17" s="223">
        <v>0</v>
      </c>
      <c r="H17" s="222">
        <f>G17*D17</f>
        <v>0</v>
      </c>
      <c r="I17" s="223">
        <v>0</v>
      </c>
      <c r="J17" s="222">
        <f>I17*D17</f>
        <v>0</v>
      </c>
      <c r="K17" s="213">
        <v>0</v>
      </c>
      <c r="L17" s="214">
        <f>K17*D17</f>
        <v>0</v>
      </c>
      <c r="M17" s="213">
        <v>0</v>
      </c>
      <c r="N17" s="222">
        <f>M17*D17</f>
        <v>0</v>
      </c>
      <c r="O17" s="224">
        <v>0</v>
      </c>
      <c r="P17" s="222">
        <f>O17*D17</f>
        <v>0</v>
      </c>
      <c r="Q17" s="216">
        <f>TRUNC(F17+H17+J17+L17+N17+P17,2)</f>
        <v>12149.69</v>
      </c>
      <c r="S17" s="9"/>
      <c r="T17" s="202"/>
    </row>
    <row r="18" spans="1:21" s="208" customFormat="1" ht="6" customHeight="1">
      <c r="A18" s="210"/>
      <c r="B18" s="211"/>
      <c r="C18" s="212"/>
      <c r="D18" s="211"/>
      <c r="E18" s="218"/>
      <c r="F18" s="219"/>
      <c r="G18" s="223"/>
      <c r="H18" s="222"/>
      <c r="I18" s="222"/>
      <c r="J18" s="222"/>
      <c r="K18" s="213"/>
      <c r="L18" s="214"/>
      <c r="M18" s="222"/>
      <c r="N18" s="222"/>
      <c r="O18" s="224"/>
      <c r="P18" s="222"/>
      <c r="Q18" s="216"/>
      <c r="S18" s="9"/>
      <c r="T18" s="202"/>
    </row>
    <row r="19" spans="1:21" s="208" customFormat="1" ht="12.75">
      <c r="A19" s="221" t="s">
        <v>70</v>
      </c>
      <c r="B19" s="211" t="str">
        <f>orcam!D40</f>
        <v>MOVIMENTO DE TERRA</v>
      </c>
      <c r="C19" s="212">
        <f>D19/D52</f>
        <v>3.5000709467377869E-4</v>
      </c>
      <c r="D19" s="211">
        <f>orcam!I43</f>
        <v>219.56</v>
      </c>
      <c r="E19" s="213">
        <v>1</v>
      </c>
      <c r="F19" s="222">
        <f>E19*D19</f>
        <v>219.56</v>
      </c>
      <c r="G19" s="223">
        <v>0</v>
      </c>
      <c r="H19" s="222">
        <f>G19*D19</f>
        <v>0</v>
      </c>
      <c r="I19" s="223">
        <v>0</v>
      </c>
      <c r="J19" s="222">
        <f>I19*D19</f>
        <v>0</v>
      </c>
      <c r="K19" s="213">
        <v>0</v>
      </c>
      <c r="L19" s="214">
        <f>K19*D19</f>
        <v>0</v>
      </c>
      <c r="M19" s="213">
        <v>0</v>
      </c>
      <c r="N19" s="222">
        <f>M19*D19</f>
        <v>0</v>
      </c>
      <c r="O19" s="224">
        <v>0</v>
      </c>
      <c r="P19" s="222">
        <f>O19*D19</f>
        <v>0</v>
      </c>
      <c r="Q19" s="216">
        <f>TRUNC(F19+H19+J19+L19+N19+P19,2)</f>
        <v>219.56</v>
      </c>
      <c r="S19" s="9"/>
      <c r="T19" s="202"/>
    </row>
    <row r="20" spans="1:21" s="208" customFormat="1" ht="6" customHeight="1">
      <c r="A20" s="210"/>
      <c r="B20" s="211"/>
      <c r="C20" s="212"/>
      <c r="D20" s="211"/>
      <c r="E20" s="218"/>
      <c r="F20" s="219"/>
      <c r="G20" s="223"/>
      <c r="H20" s="222"/>
      <c r="I20" s="222"/>
      <c r="J20" s="222"/>
      <c r="K20" s="213"/>
      <c r="L20" s="214"/>
      <c r="M20" s="222"/>
      <c r="N20" s="222"/>
      <c r="O20" s="224"/>
      <c r="P20" s="222"/>
      <c r="Q20" s="225"/>
      <c r="S20" s="9"/>
      <c r="T20" s="202"/>
    </row>
    <row r="21" spans="1:21" s="208" customFormat="1" ht="13.5" customHeight="1">
      <c r="A21" s="210" t="s">
        <v>77</v>
      </c>
      <c r="B21" s="211" t="str">
        <f>orcam!D45</f>
        <v>FUNDAÇÕES</v>
      </c>
      <c r="C21" s="212">
        <f>D21/D52</f>
        <v>7.8959151975340983E-3</v>
      </c>
      <c r="D21" s="211">
        <f>orcam!I53</f>
        <v>4953.12</v>
      </c>
      <c r="E21" s="213">
        <v>0.4</v>
      </c>
      <c r="F21" s="222">
        <f>E21*D21</f>
        <v>1981.248</v>
      </c>
      <c r="G21" s="223">
        <v>0.6</v>
      </c>
      <c r="H21" s="222">
        <f>G21*D21</f>
        <v>2971.8719999999998</v>
      </c>
      <c r="I21" s="223">
        <v>0</v>
      </c>
      <c r="J21" s="222">
        <f>I21*D21</f>
        <v>0</v>
      </c>
      <c r="K21" s="213">
        <v>0</v>
      </c>
      <c r="L21" s="214">
        <f>K21*D21</f>
        <v>0</v>
      </c>
      <c r="M21" s="213">
        <v>0</v>
      </c>
      <c r="N21" s="222">
        <f>M21*D21</f>
        <v>0</v>
      </c>
      <c r="O21" s="224">
        <v>0</v>
      </c>
      <c r="P21" s="222">
        <f>O21*D21</f>
        <v>0</v>
      </c>
      <c r="Q21" s="216">
        <f>TRUNC(F21+H21+J21+L21+N21+P21,2)</f>
        <v>4953.12</v>
      </c>
      <c r="S21" s="9"/>
      <c r="T21" s="202"/>
    </row>
    <row r="22" spans="1:21" s="208" customFormat="1" ht="6" customHeight="1">
      <c r="A22" s="210"/>
      <c r="B22" s="211"/>
      <c r="C22" s="212"/>
      <c r="D22" s="211"/>
      <c r="E22" s="218"/>
      <c r="F22" s="219"/>
      <c r="G22" s="218"/>
      <c r="H22" s="219"/>
      <c r="I22" s="222"/>
      <c r="J22" s="222"/>
      <c r="K22" s="213"/>
      <c r="L22" s="214"/>
      <c r="M22" s="222"/>
      <c r="N22" s="222"/>
      <c r="O22" s="224"/>
      <c r="P22" s="222"/>
      <c r="Q22" s="216"/>
      <c r="S22" s="9"/>
      <c r="T22" s="202"/>
    </row>
    <row r="23" spans="1:21" s="208" customFormat="1" ht="12.75">
      <c r="A23" s="221" t="s">
        <v>95</v>
      </c>
      <c r="B23" s="211" t="str">
        <f>orcam!D55</f>
        <v>ESTRUTURA</v>
      </c>
      <c r="C23" s="212">
        <f>D23/D52</f>
        <v>3.034165847855283E-2</v>
      </c>
      <c r="D23" s="211">
        <f>orcam!I62</f>
        <v>19033.37</v>
      </c>
      <c r="E23" s="213">
        <v>0</v>
      </c>
      <c r="F23" s="222">
        <f>E23*D23</f>
        <v>0</v>
      </c>
      <c r="G23" s="223">
        <v>0.2</v>
      </c>
      <c r="H23" s="222">
        <f>G23*D23</f>
        <v>3806.674</v>
      </c>
      <c r="I23" s="223">
        <v>0.4</v>
      </c>
      <c r="J23" s="222">
        <f>I23*D23</f>
        <v>7613.348</v>
      </c>
      <c r="K23" s="213">
        <v>0.4</v>
      </c>
      <c r="L23" s="214">
        <f>K23*D23</f>
        <v>7613.348</v>
      </c>
      <c r="M23" s="213">
        <v>0</v>
      </c>
      <c r="N23" s="222">
        <f>M23*D23</f>
        <v>0</v>
      </c>
      <c r="O23" s="224">
        <v>0</v>
      </c>
      <c r="P23" s="222">
        <f>O23*D23</f>
        <v>0</v>
      </c>
      <c r="Q23" s="216">
        <f>TRUNC(F23+H23+J23+L23+N23+P23,2)</f>
        <v>19033.37</v>
      </c>
      <c r="S23" s="9"/>
      <c r="T23" s="202"/>
      <c r="U23" s="208">
        <f>100/6</f>
        <v>16.666666666666668</v>
      </c>
    </row>
    <row r="24" spans="1:21" s="208" customFormat="1" ht="6" customHeight="1">
      <c r="A24" s="210"/>
      <c r="B24" s="211"/>
      <c r="C24" s="212"/>
      <c r="D24" s="211"/>
      <c r="E24" s="213"/>
      <c r="F24" s="222"/>
      <c r="G24" s="223"/>
      <c r="H24" s="222"/>
      <c r="I24" s="222"/>
      <c r="J24" s="222"/>
      <c r="K24" s="213"/>
      <c r="L24" s="214"/>
      <c r="M24" s="223"/>
      <c r="N24" s="222"/>
      <c r="O24" s="224"/>
      <c r="P24" s="222"/>
      <c r="Q24" s="216"/>
      <c r="S24" s="9"/>
      <c r="T24" s="202"/>
    </row>
    <row r="25" spans="1:21" s="208" customFormat="1" ht="12.75">
      <c r="A25" s="221" t="s">
        <v>107</v>
      </c>
      <c r="B25" s="211" t="str">
        <f>orcam!D64</f>
        <v>ALVENARIA</v>
      </c>
      <c r="C25" s="212">
        <f>D25/D52</f>
        <v>1.7591905596537883E-2</v>
      </c>
      <c r="D25" s="211">
        <f>orcam!I68</f>
        <v>11035.43</v>
      </c>
      <c r="E25" s="213">
        <v>0</v>
      </c>
      <c r="F25" s="222">
        <f>E25*D25</f>
        <v>0</v>
      </c>
      <c r="G25" s="223">
        <v>0.2</v>
      </c>
      <c r="H25" s="222">
        <f>G25*D25</f>
        <v>2207.0860000000002</v>
      </c>
      <c r="I25" s="223">
        <v>0.4</v>
      </c>
      <c r="J25" s="222">
        <f>I25*D25</f>
        <v>4414.1720000000005</v>
      </c>
      <c r="K25" s="213">
        <v>0.4</v>
      </c>
      <c r="L25" s="214">
        <f>K25*D25</f>
        <v>4414.1720000000005</v>
      </c>
      <c r="M25" s="213">
        <v>0</v>
      </c>
      <c r="N25" s="222">
        <f>M25*D25</f>
        <v>0</v>
      </c>
      <c r="O25" s="224">
        <v>0</v>
      </c>
      <c r="P25" s="222">
        <f>O25*D25</f>
        <v>0</v>
      </c>
      <c r="Q25" s="216">
        <f>TRUNC(F25+H25+J25+L25+N25+P25,2)</f>
        <v>11035.43</v>
      </c>
      <c r="S25" s="9"/>
      <c r="T25" s="202"/>
    </row>
    <row r="26" spans="1:21" s="208" customFormat="1" ht="6" customHeight="1">
      <c r="A26" s="210"/>
      <c r="B26" s="211"/>
      <c r="C26" s="212"/>
      <c r="D26" s="211"/>
      <c r="E26" s="213"/>
      <c r="F26" s="222"/>
      <c r="G26" s="218"/>
      <c r="H26" s="219"/>
      <c r="I26" s="219"/>
      <c r="J26" s="219"/>
      <c r="K26" s="218"/>
      <c r="L26" s="214"/>
      <c r="M26" s="223"/>
      <c r="N26" s="222"/>
      <c r="O26" s="224"/>
      <c r="P26" s="222"/>
      <c r="Q26" s="216"/>
      <c r="S26" s="9"/>
      <c r="T26" s="202"/>
    </row>
    <row r="27" spans="1:21" s="208" customFormat="1" ht="12.75">
      <c r="A27" s="221" t="s">
        <v>116</v>
      </c>
      <c r="B27" s="211" t="str">
        <f>orcam!D70</f>
        <v>COBERTURA</v>
      </c>
      <c r="C27" s="212">
        <f>D27/D52</f>
        <v>0.2680011784443645</v>
      </c>
      <c r="D27" s="211">
        <f>orcam!I77</f>
        <v>168117.56</v>
      </c>
      <c r="E27" s="213">
        <v>0</v>
      </c>
      <c r="F27" s="222">
        <f>E27*D27</f>
        <v>0</v>
      </c>
      <c r="G27" s="223">
        <v>0</v>
      </c>
      <c r="H27" s="222">
        <f>G27*D27</f>
        <v>0</v>
      </c>
      <c r="I27" s="223">
        <v>0.5</v>
      </c>
      <c r="J27" s="222">
        <f>I27*D27</f>
        <v>84058.78</v>
      </c>
      <c r="K27" s="213">
        <v>0.5</v>
      </c>
      <c r="L27" s="214">
        <f>K27*D27</f>
        <v>84058.78</v>
      </c>
      <c r="M27" s="213">
        <v>0</v>
      </c>
      <c r="N27" s="222">
        <f>M27*D27</f>
        <v>0</v>
      </c>
      <c r="O27" s="224">
        <v>0</v>
      </c>
      <c r="P27" s="222">
        <f>O27*D27</f>
        <v>0</v>
      </c>
      <c r="Q27" s="216">
        <f>TRUNC(F27+H27+J27+L27+N27+P27,2)</f>
        <v>168117.56</v>
      </c>
      <c r="S27" s="9"/>
      <c r="T27" s="202"/>
    </row>
    <row r="28" spans="1:21" s="208" customFormat="1" ht="6" customHeight="1">
      <c r="A28" s="210"/>
      <c r="B28" s="211"/>
      <c r="C28" s="212"/>
      <c r="D28" s="211"/>
      <c r="E28" s="213"/>
      <c r="F28" s="222"/>
      <c r="G28" s="223"/>
      <c r="H28" s="222"/>
      <c r="I28" s="219"/>
      <c r="J28" s="219"/>
      <c r="K28" s="218"/>
      <c r="L28" s="214"/>
      <c r="M28" s="223"/>
      <c r="N28" s="222"/>
      <c r="O28" s="224"/>
      <c r="P28" s="222"/>
      <c r="Q28" s="216"/>
      <c r="S28" s="9"/>
      <c r="T28" s="202"/>
    </row>
    <row r="29" spans="1:21" s="208" customFormat="1" ht="12.75">
      <c r="A29" s="210" t="s">
        <v>131</v>
      </c>
      <c r="B29" s="211" t="str">
        <f>orcam!D79</f>
        <v>ESQUDRIAS</v>
      </c>
      <c r="C29" s="212">
        <f>D29/D52</f>
        <v>7.5710108616498448E-2</v>
      </c>
      <c r="D29" s="211">
        <f>orcam!I91</f>
        <v>47493.07</v>
      </c>
      <c r="E29" s="213">
        <v>0</v>
      </c>
      <c r="F29" s="222">
        <f>E29*D29</f>
        <v>0</v>
      </c>
      <c r="G29" s="223">
        <v>0</v>
      </c>
      <c r="H29" s="222">
        <f>G29*D29</f>
        <v>0</v>
      </c>
      <c r="I29" s="223">
        <v>0.2</v>
      </c>
      <c r="J29" s="222">
        <f>I29*D29</f>
        <v>9498.6139999999996</v>
      </c>
      <c r="K29" s="213">
        <v>0.4</v>
      </c>
      <c r="L29" s="214">
        <f>K29*D29</f>
        <v>18997.227999999999</v>
      </c>
      <c r="M29" s="213">
        <v>0.4</v>
      </c>
      <c r="N29" s="222">
        <f>M29*D29</f>
        <v>18997.227999999999</v>
      </c>
      <c r="O29" s="224">
        <v>0</v>
      </c>
      <c r="P29" s="222">
        <f>O29*D29</f>
        <v>0</v>
      </c>
      <c r="Q29" s="216">
        <f>TRUNC(F29+H29+J29+L29+N29+P29,2)</f>
        <v>47493.07</v>
      </c>
      <c r="S29" s="9"/>
      <c r="T29" s="202"/>
    </row>
    <row r="30" spans="1:21" s="208" customFormat="1" ht="6" customHeight="1">
      <c r="A30" s="210"/>
      <c r="B30" s="211"/>
      <c r="C30" s="212"/>
      <c r="D30" s="211"/>
      <c r="E30" s="213"/>
      <c r="F30" s="222"/>
      <c r="G30" s="223"/>
      <c r="H30" s="222"/>
      <c r="I30" s="226"/>
      <c r="J30" s="226"/>
      <c r="K30" s="227"/>
      <c r="L30" s="226"/>
      <c r="M30" s="227"/>
      <c r="N30" s="226"/>
      <c r="O30" s="224"/>
      <c r="P30" s="222"/>
      <c r="Q30" s="216"/>
      <c r="S30" s="9"/>
      <c r="T30" s="202"/>
    </row>
    <row r="31" spans="1:21" s="208" customFormat="1" ht="12.75">
      <c r="A31" s="221" t="s">
        <v>156</v>
      </c>
      <c r="B31" s="211" t="str">
        <f>orcam!D93</f>
        <v>REVESTIMENTO</v>
      </c>
      <c r="C31" s="212">
        <f>D31/D52</f>
        <v>4.9095716435079227E-2</v>
      </c>
      <c r="D31" s="211">
        <f>orcam!I99</f>
        <v>30797.82</v>
      </c>
      <c r="E31" s="213">
        <v>0</v>
      </c>
      <c r="F31" s="222">
        <f>E31*D31</f>
        <v>0</v>
      </c>
      <c r="G31" s="223">
        <v>0</v>
      </c>
      <c r="H31" s="222">
        <f>G31*D31</f>
        <v>0</v>
      </c>
      <c r="I31" s="223">
        <v>0.1</v>
      </c>
      <c r="J31" s="222">
        <f>I31*D31</f>
        <v>3079.7820000000002</v>
      </c>
      <c r="K31" s="213">
        <v>0.2</v>
      </c>
      <c r="L31" s="214">
        <f>K31*D31</f>
        <v>6159.5640000000003</v>
      </c>
      <c r="M31" s="213">
        <v>0.7</v>
      </c>
      <c r="N31" s="222">
        <f>M31*D31</f>
        <v>21558.473999999998</v>
      </c>
      <c r="O31" s="224">
        <v>0</v>
      </c>
      <c r="P31" s="222">
        <f>O31*D31</f>
        <v>0</v>
      </c>
      <c r="Q31" s="216">
        <f>TRUNC(F31+H31+J31+L31+N31+P31,2)</f>
        <v>30797.82</v>
      </c>
      <c r="S31" s="9"/>
      <c r="T31" s="202"/>
    </row>
    <row r="32" spans="1:21" s="229" customFormat="1" ht="6" customHeight="1">
      <c r="A32" s="228"/>
      <c r="B32" s="214"/>
      <c r="C32" s="212"/>
      <c r="D32" s="214"/>
      <c r="E32" s="213"/>
      <c r="F32" s="222"/>
      <c r="G32" s="223"/>
      <c r="H32" s="222"/>
      <c r="I32" s="219"/>
      <c r="J32" s="219"/>
      <c r="K32" s="218"/>
      <c r="L32" s="219"/>
      <c r="M32" s="218"/>
      <c r="N32" s="219"/>
      <c r="O32" s="224"/>
      <c r="P32" s="222"/>
      <c r="Q32" s="216"/>
      <c r="S32" s="9"/>
      <c r="T32" s="206"/>
    </row>
    <row r="33" spans="1:20" s="208" customFormat="1" ht="11.25" customHeight="1">
      <c r="A33" s="210" t="s">
        <v>170</v>
      </c>
      <c r="B33" s="211" t="str">
        <f>orcam!D101</f>
        <v>PISOS E RODAPES</v>
      </c>
      <c r="C33" s="212">
        <f>D33/D52</f>
        <v>0.11465716561174875</v>
      </c>
      <c r="D33" s="211">
        <f>orcam!I107</f>
        <v>71924.62</v>
      </c>
      <c r="E33" s="213">
        <v>0</v>
      </c>
      <c r="F33" s="222">
        <f>E33*D33</f>
        <v>0</v>
      </c>
      <c r="G33" s="223">
        <v>0</v>
      </c>
      <c r="H33" s="222">
        <f>G33*D33</f>
        <v>0</v>
      </c>
      <c r="I33" s="223">
        <v>0.1</v>
      </c>
      <c r="J33" s="222">
        <f>I33*D33</f>
        <v>7192.4619999999995</v>
      </c>
      <c r="K33" s="213">
        <v>0.1</v>
      </c>
      <c r="L33" s="214">
        <f>K33*D33</f>
        <v>7192.4619999999995</v>
      </c>
      <c r="M33" s="223">
        <v>0.5</v>
      </c>
      <c r="N33" s="222">
        <f>M33*D33</f>
        <v>35962.31</v>
      </c>
      <c r="O33" s="224">
        <v>0.3</v>
      </c>
      <c r="P33" s="222">
        <f>O33*D33</f>
        <v>21577.385999999999</v>
      </c>
      <c r="Q33" s="216">
        <f>TRUNC(F33+H33+J33+L33+N33+P33,2)</f>
        <v>71924.62</v>
      </c>
      <c r="S33" s="9"/>
      <c r="T33" s="202"/>
    </row>
    <row r="34" spans="1:20" s="208" customFormat="1" ht="6" customHeight="1">
      <c r="A34" s="210"/>
      <c r="B34" s="211"/>
      <c r="C34" s="212"/>
      <c r="D34" s="211"/>
      <c r="E34" s="213"/>
      <c r="F34" s="222"/>
      <c r="G34" s="223"/>
      <c r="H34" s="222"/>
      <c r="I34" s="219"/>
      <c r="J34" s="219"/>
      <c r="K34" s="218"/>
      <c r="L34" s="219"/>
      <c r="M34" s="218"/>
      <c r="N34" s="219"/>
      <c r="O34" s="220"/>
      <c r="P34" s="222"/>
      <c r="Q34" s="216"/>
      <c r="S34" s="9"/>
      <c r="T34" s="202"/>
    </row>
    <row r="35" spans="1:20" s="208" customFormat="1" ht="12.75">
      <c r="A35" s="221" t="s">
        <v>183</v>
      </c>
      <c r="B35" s="211" t="str">
        <f>orcam!D109</f>
        <v>VIDROS</v>
      </c>
      <c r="C35" s="212">
        <f>D35/D52</f>
        <v>3.2530892597638486E-2</v>
      </c>
      <c r="D35" s="211">
        <f>orcam!I113</f>
        <v>20406.68</v>
      </c>
      <c r="E35" s="213">
        <v>0</v>
      </c>
      <c r="F35" s="222">
        <f>E35*D35</f>
        <v>0</v>
      </c>
      <c r="G35" s="223">
        <v>0</v>
      </c>
      <c r="H35" s="222">
        <f>G35*D35</f>
        <v>0</v>
      </c>
      <c r="I35" s="223">
        <v>0</v>
      </c>
      <c r="J35" s="222">
        <f>I35*D35</f>
        <v>0</v>
      </c>
      <c r="K35" s="213">
        <v>0</v>
      </c>
      <c r="L35" s="214">
        <f>K35*D35</f>
        <v>0</v>
      </c>
      <c r="M35" s="223">
        <v>0.6</v>
      </c>
      <c r="N35" s="222">
        <f>M35*D35</f>
        <v>12244.008</v>
      </c>
      <c r="O35" s="224">
        <v>0.4</v>
      </c>
      <c r="P35" s="222">
        <f>O35*D35</f>
        <v>8162.6720000000005</v>
      </c>
      <c r="Q35" s="216">
        <f>TRUNC(F35+H35+J35+L35+N35+P35,2)</f>
        <v>20406.68</v>
      </c>
      <c r="S35" s="9"/>
      <c r="T35" s="202"/>
    </row>
    <row r="36" spans="1:20" s="208" customFormat="1" ht="6" customHeight="1">
      <c r="A36" s="210"/>
      <c r="B36" s="211"/>
      <c r="C36" s="212"/>
      <c r="D36" s="211"/>
      <c r="E36" s="213"/>
      <c r="F36" s="222"/>
      <c r="G36" s="223"/>
      <c r="H36" s="222"/>
      <c r="I36" s="222"/>
      <c r="J36" s="222"/>
      <c r="K36" s="213"/>
      <c r="L36" s="214"/>
      <c r="M36" s="218"/>
      <c r="N36" s="219"/>
      <c r="O36" s="220"/>
      <c r="P36" s="219"/>
      <c r="Q36" s="216"/>
      <c r="S36" s="9"/>
      <c r="T36" s="202"/>
    </row>
    <row r="37" spans="1:20" s="208" customFormat="1" ht="13.5" customHeight="1">
      <c r="A37" s="210" t="s">
        <v>193</v>
      </c>
      <c r="B37" s="211" t="str">
        <f>orcam!D115</f>
        <v>PINTURA</v>
      </c>
      <c r="C37" s="212">
        <f>D37/D52</f>
        <v>4.3667434149734397E-2</v>
      </c>
      <c r="D37" s="211">
        <f>orcam!I124</f>
        <v>27392.65</v>
      </c>
      <c r="E37" s="213">
        <v>0</v>
      </c>
      <c r="F37" s="222">
        <f>E37*D37</f>
        <v>0</v>
      </c>
      <c r="G37" s="223">
        <v>0</v>
      </c>
      <c r="H37" s="222">
        <f>G37*D37</f>
        <v>0</v>
      </c>
      <c r="I37" s="223">
        <v>0</v>
      </c>
      <c r="J37" s="222">
        <f>I37*D37</f>
        <v>0</v>
      </c>
      <c r="K37" s="213">
        <v>0.2</v>
      </c>
      <c r="L37" s="214">
        <f>K37*D37</f>
        <v>5478.5300000000007</v>
      </c>
      <c r="M37" s="213">
        <v>0.3</v>
      </c>
      <c r="N37" s="222">
        <f>M37*D37</f>
        <v>8217.7950000000001</v>
      </c>
      <c r="O37" s="224">
        <v>0.5</v>
      </c>
      <c r="P37" s="222">
        <f>O37*D37</f>
        <v>13696.325000000001</v>
      </c>
      <c r="Q37" s="216">
        <f>TRUNC(F37+H37+J37+L37+N37+P37,2)</f>
        <v>27392.65</v>
      </c>
      <c r="S37" s="9"/>
      <c r="T37" s="202"/>
    </row>
    <row r="38" spans="1:20" s="208" customFormat="1" ht="6" customHeight="1">
      <c r="A38" s="210"/>
      <c r="B38" s="211"/>
      <c r="C38" s="212"/>
      <c r="D38" s="211"/>
      <c r="E38" s="213"/>
      <c r="F38" s="222"/>
      <c r="G38" s="223"/>
      <c r="H38" s="222"/>
      <c r="I38" s="222"/>
      <c r="J38" s="222"/>
      <c r="K38" s="218"/>
      <c r="L38" s="219"/>
      <c r="M38" s="218"/>
      <c r="N38" s="219"/>
      <c r="O38" s="220"/>
      <c r="P38" s="219"/>
      <c r="Q38" s="216"/>
      <c r="S38" s="9"/>
      <c r="T38" s="202"/>
    </row>
    <row r="39" spans="1:20" s="208" customFormat="1" ht="12.75">
      <c r="A39" s="221" t="s">
        <v>214</v>
      </c>
      <c r="B39" s="211" t="str">
        <f>orcam!D126</f>
        <v>INSTALAÇÕES ELÉTRICAS</v>
      </c>
      <c r="C39" s="212">
        <f>D39/D52</f>
        <v>7.939583189629193E-2</v>
      </c>
      <c r="D39" s="211">
        <f>orcam!I191</f>
        <v>49805.13</v>
      </c>
      <c r="E39" s="213">
        <v>0</v>
      </c>
      <c r="F39" s="222">
        <f>E39*D39</f>
        <v>0</v>
      </c>
      <c r="G39" s="223">
        <v>0.05</v>
      </c>
      <c r="H39" s="222">
        <f>G39*D39</f>
        <v>2490.2565</v>
      </c>
      <c r="I39" s="223">
        <v>0.1</v>
      </c>
      <c r="J39" s="222">
        <f>I39*D39</f>
        <v>4980.5129999999999</v>
      </c>
      <c r="K39" s="213">
        <v>0.3</v>
      </c>
      <c r="L39" s="214">
        <f>K39*D39</f>
        <v>14941.538999999999</v>
      </c>
      <c r="M39" s="213">
        <v>0.3</v>
      </c>
      <c r="N39" s="222">
        <f>M39*D39</f>
        <v>14941.538999999999</v>
      </c>
      <c r="O39" s="224">
        <v>0.25</v>
      </c>
      <c r="P39" s="222">
        <f>O39*D39</f>
        <v>12451.282499999999</v>
      </c>
      <c r="Q39" s="216">
        <f>TRUNC(F39+H39+J39+L39+N39+P39,2)</f>
        <v>49805.13</v>
      </c>
      <c r="S39" s="9"/>
      <c r="T39" s="202"/>
    </row>
    <row r="40" spans="1:20" s="208" customFormat="1" ht="6" customHeight="1">
      <c r="A40" s="210"/>
      <c r="B40" s="211"/>
      <c r="C40" s="212"/>
      <c r="D40" s="211"/>
      <c r="E40" s="223"/>
      <c r="F40" s="222"/>
      <c r="G40" s="218"/>
      <c r="H40" s="219"/>
      <c r="I40" s="219"/>
      <c r="J40" s="219"/>
      <c r="K40" s="218"/>
      <c r="L40" s="219"/>
      <c r="M40" s="218"/>
      <c r="N40" s="219"/>
      <c r="O40" s="220"/>
      <c r="P40" s="219"/>
      <c r="Q40" s="216"/>
      <c r="S40" s="9"/>
      <c r="T40" s="202"/>
    </row>
    <row r="41" spans="1:20" s="208" customFormat="1" ht="12.75">
      <c r="A41" s="221" t="s">
        <v>360</v>
      </c>
      <c r="B41" s="211" t="str">
        <f>orcam!D193</f>
        <v>INSTALAÇÃOES DE LÓGICA/TELEFONIA</v>
      </c>
      <c r="C41" s="212">
        <f>D41/D52</f>
        <v>2.4588046224720914E-2</v>
      </c>
      <c r="D41" s="211">
        <f>orcam!I221</f>
        <v>15424.12</v>
      </c>
      <c r="E41" s="213">
        <v>0</v>
      </c>
      <c r="F41" s="222">
        <f>E41*D41</f>
        <v>0</v>
      </c>
      <c r="G41" s="223">
        <v>0.05</v>
      </c>
      <c r="H41" s="222">
        <f>G41*D41</f>
        <v>771.20600000000013</v>
      </c>
      <c r="I41" s="223">
        <v>0.1</v>
      </c>
      <c r="J41" s="222">
        <f>I41*D41</f>
        <v>1542.4120000000003</v>
      </c>
      <c r="K41" s="213">
        <v>0.3</v>
      </c>
      <c r="L41" s="214">
        <f>K41*D41</f>
        <v>4627.2359999999999</v>
      </c>
      <c r="M41" s="223">
        <v>0.3</v>
      </c>
      <c r="N41" s="222">
        <f>M41*D41</f>
        <v>4627.2359999999999</v>
      </c>
      <c r="O41" s="224">
        <v>0.25</v>
      </c>
      <c r="P41" s="222">
        <f>O41*D41</f>
        <v>3856.03</v>
      </c>
      <c r="Q41" s="216">
        <f>TRUNC(F41+H41+J41+L41+N41+P41,2)</f>
        <v>15424.12</v>
      </c>
      <c r="S41" s="9"/>
      <c r="T41" s="202"/>
    </row>
    <row r="42" spans="1:20" s="208" customFormat="1" ht="6" customHeight="1">
      <c r="A42" s="210"/>
      <c r="B42" s="211"/>
      <c r="C42" s="212"/>
      <c r="D42" s="211"/>
      <c r="E42" s="213"/>
      <c r="F42" s="222"/>
      <c r="G42" s="218"/>
      <c r="H42" s="219"/>
      <c r="I42" s="219"/>
      <c r="J42" s="219"/>
      <c r="K42" s="218"/>
      <c r="L42" s="219"/>
      <c r="M42" s="218"/>
      <c r="N42" s="219"/>
      <c r="O42" s="220"/>
      <c r="P42" s="219"/>
      <c r="Q42" s="216"/>
      <c r="S42" s="9"/>
      <c r="T42" s="202"/>
    </row>
    <row r="43" spans="1:20" s="208" customFormat="1" ht="12.75">
      <c r="A43" s="221" t="s">
        <v>414</v>
      </c>
      <c r="B43" s="211" t="str">
        <f>orcam!D223</f>
        <v>INSTALAÇÃO HIDRÁULICA E SANITÁRIA</v>
      </c>
      <c r="C43" s="212">
        <f>D43/D52</f>
        <v>4.5296985308039321E-2</v>
      </c>
      <c r="D43" s="211">
        <f>orcam!I289</f>
        <v>28414.87</v>
      </c>
      <c r="E43" s="213">
        <v>0</v>
      </c>
      <c r="F43" s="222">
        <f>E43*D43</f>
        <v>0</v>
      </c>
      <c r="G43" s="223">
        <v>0</v>
      </c>
      <c r="H43" s="222">
        <f>G43*D43</f>
        <v>0</v>
      </c>
      <c r="I43" s="223">
        <v>0.15</v>
      </c>
      <c r="J43" s="222">
        <f>I43*D43</f>
        <v>4262.2304999999997</v>
      </c>
      <c r="K43" s="213">
        <v>0.15</v>
      </c>
      <c r="L43" s="214">
        <f>K43*D43</f>
        <v>4262.2304999999997</v>
      </c>
      <c r="M43" s="213">
        <v>0.4</v>
      </c>
      <c r="N43" s="222">
        <f>M43*D43</f>
        <v>11365.948</v>
      </c>
      <c r="O43" s="224">
        <v>0.3</v>
      </c>
      <c r="P43" s="222">
        <f>O43*D43</f>
        <v>8524.4609999999993</v>
      </c>
      <c r="Q43" s="216">
        <f>TRUNC(F43+H43+J43+L43+N43+P43,2)</f>
        <v>28414.87</v>
      </c>
      <c r="S43" s="9"/>
      <c r="T43" s="202"/>
    </row>
    <row r="44" spans="1:20" s="208" customFormat="1" ht="6" customHeight="1">
      <c r="A44" s="210"/>
      <c r="B44" s="211"/>
      <c r="C44" s="212"/>
      <c r="D44" s="211"/>
      <c r="E44" s="213"/>
      <c r="F44" s="222"/>
      <c r="G44" s="218"/>
      <c r="H44" s="219"/>
      <c r="I44" s="219"/>
      <c r="J44" s="219"/>
      <c r="K44" s="218"/>
      <c r="L44" s="219"/>
      <c r="M44" s="218"/>
      <c r="N44" s="219"/>
      <c r="O44" s="220"/>
      <c r="P44" s="219"/>
      <c r="Q44" s="216"/>
      <c r="S44" s="9"/>
      <c r="T44" s="202"/>
    </row>
    <row r="45" spans="1:20" s="208" customFormat="1" ht="14.25" customHeight="1">
      <c r="A45" s="221" t="s">
        <v>550</v>
      </c>
      <c r="B45" s="230" t="str">
        <f>orcam!D291</f>
        <v>IMPLANTAÇÃO/URBANIZAÇÃO</v>
      </c>
      <c r="C45" s="212">
        <f>D45/D52</f>
        <v>5.1329203591822671E-2</v>
      </c>
      <c r="D45" s="211">
        <f>orcam!I301</f>
        <v>32198.89</v>
      </c>
      <c r="E45" s="213">
        <v>0</v>
      </c>
      <c r="F45" s="222">
        <f>E45*D45</f>
        <v>0</v>
      </c>
      <c r="G45" s="223">
        <v>0</v>
      </c>
      <c r="H45" s="222">
        <f>G45*D45</f>
        <v>0</v>
      </c>
      <c r="I45" s="223">
        <v>0</v>
      </c>
      <c r="J45" s="222">
        <f>I45*D45</f>
        <v>0</v>
      </c>
      <c r="K45" s="213">
        <v>0</v>
      </c>
      <c r="L45" s="214">
        <f>K45*D45</f>
        <v>0</v>
      </c>
      <c r="M45" s="213">
        <v>0.5</v>
      </c>
      <c r="N45" s="222">
        <f>M45*D45</f>
        <v>16099.445</v>
      </c>
      <c r="O45" s="224">
        <v>0.5</v>
      </c>
      <c r="P45" s="222">
        <f>O45*D45</f>
        <v>16099.445</v>
      </c>
      <c r="Q45" s="216">
        <f>TRUNC(F45+H45+J45+L45+N45+P45,2)</f>
        <v>32198.89</v>
      </c>
      <c r="S45" s="9"/>
      <c r="T45" s="202"/>
    </row>
    <row r="46" spans="1:20" s="208" customFormat="1" ht="6" customHeight="1">
      <c r="A46" s="210"/>
      <c r="B46" s="211"/>
      <c r="C46" s="212"/>
      <c r="D46" s="211"/>
      <c r="E46" s="213"/>
      <c r="F46" s="222"/>
      <c r="G46" s="223"/>
      <c r="H46" s="222"/>
      <c r="I46" s="222"/>
      <c r="J46" s="222"/>
      <c r="K46" s="213"/>
      <c r="L46" s="222"/>
      <c r="M46" s="218"/>
      <c r="N46" s="219"/>
      <c r="O46" s="220"/>
      <c r="P46" s="219"/>
      <c r="Q46" s="216"/>
      <c r="S46" s="9"/>
      <c r="T46" s="202"/>
    </row>
    <row r="47" spans="1:20" s="208" customFormat="1" ht="12.75">
      <c r="A47" s="221" t="s">
        <v>569</v>
      </c>
      <c r="B47" s="211" t="str">
        <f>orcam!D303</f>
        <v>SERVIÇOS COMPLEMENTARES</v>
      </c>
      <c r="C47" s="212">
        <f>D47/D52</f>
        <v>2.8303882612632392E-2</v>
      </c>
      <c r="D47" s="211">
        <f>orcam!I319</f>
        <v>17755.07</v>
      </c>
      <c r="E47" s="213">
        <v>0</v>
      </c>
      <c r="F47" s="222">
        <f>E47*D47</f>
        <v>0</v>
      </c>
      <c r="G47" s="223">
        <v>0</v>
      </c>
      <c r="H47" s="222">
        <f>G47*D47</f>
        <v>0</v>
      </c>
      <c r="I47" s="223">
        <v>0</v>
      </c>
      <c r="J47" s="222">
        <f>I47*D47</f>
        <v>0</v>
      </c>
      <c r="K47" s="213">
        <v>0</v>
      </c>
      <c r="L47" s="214">
        <f>K47*D47</f>
        <v>0</v>
      </c>
      <c r="M47" s="213">
        <v>0.5</v>
      </c>
      <c r="N47" s="222">
        <f>M47*D47</f>
        <v>8877.5349999999999</v>
      </c>
      <c r="O47" s="224">
        <v>0.5</v>
      </c>
      <c r="P47" s="222">
        <f>O47*D47</f>
        <v>8877.5349999999999</v>
      </c>
      <c r="Q47" s="216">
        <f>TRUNC(F47+H47+J47+L47+N47+P47,2)</f>
        <v>17755.07</v>
      </c>
      <c r="S47" s="9"/>
      <c r="T47" s="202"/>
    </row>
    <row r="48" spans="1:20" s="208" customFormat="1" ht="6" customHeight="1">
      <c r="A48" s="210"/>
      <c r="B48" s="211"/>
      <c r="C48" s="212"/>
      <c r="D48" s="211"/>
      <c r="E48" s="213"/>
      <c r="F48" s="222"/>
      <c r="G48" s="223"/>
      <c r="H48" s="222"/>
      <c r="I48" s="222"/>
      <c r="J48" s="222"/>
      <c r="K48" s="213"/>
      <c r="L48" s="214"/>
      <c r="M48" s="218"/>
      <c r="N48" s="219"/>
      <c r="O48" s="220"/>
      <c r="P48" s="219"/>
      <c r="Q48" s="216"/>
      <c r="S48" s="9"/>
      <c r="T48" s="202"/>
    </row>
    <row r="49" spans="1:20" s="208" customFormat="1" ht="12.75">
      <c r="A49" s="221" t="s">
        <v>592</v>
      </c>
      <c r="B49" s="211" t="str">
        <f>orcam!D321</f>
        <v>LIMPEZA FINAL DA OBRA</v>
      </c>
      <c r="C49" s="212">
        <f>D49/D52</f>
        <v>7.7388615494777097E-4</v>
      </c>
      <c r="D49" s="211">
        <f>orcam!I323</f>
        <v>485.46</v>
      </c>
      <c r="E49" s="213">
        <v>0</v>
      </c>
      <c r="F49" s="222">
        <f>E49*D49</f>
        <v>0</v>
      </c>
      <c r="G49" s="223">
        <v>0</v>
      </c>
      <c r="H49" s="222">
        <f>G49*D49</f>
        <v>0</v>
      </c>
      <c r="I49" s="223">
        <v>0</v>
      </c>
      <c r="J49" s="222">
        <f>I49*D49</f>
        <v>0</v>
      </c>
      <c r="K49" s="213">
        <v>0</v>
      </c>
      <c r="L49" s="214">
        <f>K49*D49</f>
        <v>0</v>
      </c>
      <c r="M49" s="223">
        <v>0</v>
      </c>
      <c r="N49" s="222">
        <f>M49*D49</f>
        <v>0</v>
      </c>
      <c r="O49" s="224">
        <v>1</v>
      </c>
      <c r="P49" s="222">
        <f>O49*D49</f>
        <v>485.46</v>
      </c>
      <c r="Q49" s="216">
        <f>TRUNC(F49+H49+J49+L49+N49+P49,2)</f>
        <v>485.46</v>
      </c>
      <c r="S49" s="9"/>
      <c r="T49" s="202"/>
    </row>
    <row r="50" spans="1:20" s="208" customFormat="1" ht="6" customHeight="1">
      <c r="A50" s="210"/>
      <c r="B50" s="211"/>
      <c r="C50" s="212"/>
      <c r="D50" s="211"/>
      <c r="E50" s="213"/>
      <c r="F50" s="222"/>
      <c r="G50" s="223"/>
      <c r="H50" s="222"/>
      <c r="I50" s="222"/>
      <c r="J50" s="222"/>
      <c r="K50" s="222"/>
      <c r="L50" s="222"/>
      <c r="M50" s="223"/>
      <c r="N50" s="222"/>
      <c r="O50" s="218"/>
      <c r="P50" s="218"/>
      <c r="Q50" s="216"/>
      <c r="S50" s="9"/>
      <c r="T50" s="202"/>
    </row>
    <row r="51" spans="1:20" s="208" customFormat="1" ht="6" customHeight="1">
      <c r="A51" s="210"/>
      <c r="B51" s="211"/>
      <c r="C51" s="212"/>
      <c r="D51" s="211"/>
      <c r="E51" s="213"/>
      <c r="F51" s="214"/>
      <c r="G51" s="215"/>
      <c r="H51" s="214"/>
      <c r="I51" s="214"/>
      <c r="J51" s="214"/>
      <c r="K51" s="214"/>
      <c r="L51" s="214"/>
      <c r="M51" s="215"/>
      <c r="N51" s="214"/>
      <c r="O51" s="215"/>
      <c r="P51" s="214"/>
      <c r="Q51" s="216"/>
      <c r="S51" s="9"/>
      <c r="T51" s="202"/>
    </row>
    <row r="52" spans="1:20" s="208" customFormat="1" ht="13.5" thickBot="1">
      <c r="A52" s="242" t="s">
        <v>613</v>
      </c>
      <c r="B52" s="242"/>
      <c r="C52" s="231">
        <f>SUM(C15:C51)</f>
        <v>1</v>
      </c>
      <c r="D52" s="232">
        <f>SUM(D15:D50)</f>
        <v>627301.56999999995</v>
      </c>
      <c r="E52" s="231">
        <f>F52/D52</f>
        <v>4.0652873864160742E-2</v>
      </c>
      <c r="F52" s="232">
        <f>SUM(F15:F51)</f>
        <v>25501.6116</v>
      </c>
      <c r="G52" s="231">
        <f>H52/D52</f>
        <v>3.7299776086962444E-2</v>
      </c>
      <c r="H52" s="232">
        <f>SUM(H15:H51)</f>
        <v>23398.208099999996</v>
      </c>
      <c r="I52" s="231">
        <f>J52/D52</f>
        <v>0.21966058063588145</v>
      </c>
      <c r="J52" s="232">
        <f>SUM(J15:J51)</f>
        <v>137793.42710000003</v>
      </c>
      <c r="K52" s="231">
        <f>L52/D52</f>
        <v>0.26924243645683849</v>
      </c>
      <c r="L52" s="232">
        <f>SUM(L15:L51)</f>
        <v>168896.20310000001</v>
      </c>
      <c r="M52" s="231">
        <f>N52/D52</f>
        <v>0.26150521446965297</v>
      </c>
      <c r="N52" s="232">
        <f>SUM(N15:N51)</f>
        <v>164042.63160000002</v>
      </c>
      <c r="O52" s="231">
        <f>P52/D52</f>
        <v>0.17163911848650404</v>
      </c>
      <c r="P52" s="232">
        <f>SUM(P15:P51)</f>
        <v>107669.48849999999</v>
      </c>
      <c r="Q52" s="233">
        <f>SUM(Q15:Q49)</f>
        <v>627301.56999999995</v>
      </c>
      <c r="S52" s="9"/>
      <c r="T52" s="202"/>
    </row>
    <row r="53" spans="1:20" s="70" customFormat="1">
      <c r="G53" s="47"/>
      <c r="H53" s="47"/>
      <c r="I53" s="47"/>
      <c r="J53" s="47"/>
      <c r="K53" s="47"/>
      <c r="L53" s="47"/>
      <c r="M53" s="47"/>
      <c r="N53" s="47"/>
      <c r="O53" s="176"/>
      <c r="P53" s="47"/>
      <c r="S53" s="47"/>
      <c r="T53" s="234"/>
    </row>
    <row r="54" spans="1:20" s="70" customFormat="1">
      <c r="G54" s="47"/>
      <c r="H54" s="47"/>
      <c r="I54" s="47"/>
      <c r="J54" s="47"/>
      <c r="K54" s="47"/>
      <c r="L54" s="47"/>
      <c r="M54" s="47"/>
      <c r="N54" s="47"/>
      <c r="O54" s="176"/>
      <c r="P54" s="47"/>
      <c r="S54" s="47"/>
      <c r="T54" s="234"/>
    </row>
    <row r="55" spans="1:20" s="70" customFormat="1">
      <c r="G55" s="47"/>
      <c r="H55" s="47"/>
      <c r="I55" s="47"/>
      <c r="J55" s="47"/>
      <c r="K55" s="47"/>
      <c r="L55" s="47"/>
      <c r="M55" s="47"/>
      <c r="N55" s="47"/>
      <c r="O55" s="176"/>
      <c r="P55" s="47"/>
      <c r="S55" s="47"/>
      <c r="T55" s="234"/>
    </row>
    <row r="56" spans="1:20" s="70" customFormat="1">
      <c r="G56" s="47"/>
      <c r="H56" s="47"/>
      <c r="I56" s="47"/>
      <c r="J56" s="47"/>
      <c r="K56" s="47"/>
      <c r="L56" s="47"/>
      <c r="M56" s="47"/>
      <c r="N56" s="47"/>
      <c r="O56" s="176"/>
      <c r="P56" s="47"/>
      <c r="S56" s="47"/>
      <c r="T56" s="234"/>
    </row>
    <row r="57" spans="1:20" s="70" customFormat="1">
      <c r="G57" s="47"/>
      <c r="H57" s="47"/>
      <c r="I57" s="47"/>
      <c r="J57" s="47"/>
      <c r="K57" s="47"/>
      <c r="L57" s="47"/>
      <c r="M57" s="47"/>
      <c r="N57" s="47"/>
      <c r="O57" s="176"/>
      <c r="P57" s="47"/>
      <c r="S57" s="47"/>
      <c r="T57" s="234"/>
    </row>
    <row r="58" spans="1:20" s="70" customFormat="1">
      <c r="G58" s="47"/>
      <c r="H58" s="47"/>
      <c r="I58" s="47"/>
      <c r="J58" s="47"/>
      <c r="K58" s="47"/>
      <c r="L58" s="47"/>
      <c r="M58" s="47"/>
      <c r="N58" s="47"/>
      <c r="O58" s="176"/>
      <c r="P58" s="47"/>
      <c r="S58" s="47"/>
      <c r="T58" s="234"/>
    </row>
    <row r="59" spans="1:20" s="71" customFormat="1">
      <c r="C59" s="235"/>
      <c r="D59" s="70"/>
      <c r="F59" s="70"/>
      <c r="G59" s="176"/>
      <c r="H59" s="47"/>
      <c r="I59" s="47"/>
      <c r="J59" s="47"/>
      <c r="K59" s="47"/>
      <c r="L59" s="47"/>
      <c r="M59" s="176"/>
      <c r="N59" s="47"/>
      <c r="O59" s="176"/>
      <c r="P59" s="47"/>
      <c r="Q59" s="70"/>
      <c r="S59" s="61"/>
      <c r="T59" s="234"/>
    </row>
    <row r="60" spans="1:20" s="71" customFormat="1">
      <c r="C60" s="235"/>
      <c r="D60" s="70"/>
      <c r="F60" s="70"/>
      <c r="G60" s="176"/>
      <c r="H60" s="47"/>
      <c r="I60" s="47"/>
      <c r="J60" s="47"/>
      <c r="K60" s="47"/>
      <c r="L60" s="47"/>
      <c r="M60" s="176"/>
      <c r="N60" s="47"/>
      <c r="O60" s="176"/>
      <c r="P60" s="47"/>
      <c r="Q60" s="70"/>
      <c r="S60" s="61"/>
      <c r="T60" s="234"/>
    </row>
    <row r="61" spans="1:20" s="71" customFormat="1">
      <c r="C61" s="235"/>
      <c r="D61" s="70"/>
      <c r="F61" s="70"/>
      <c r="G61" s="176"/>
      <c r="H61" s="47"/>
      <c r="I61" s="47"/>
      <c r="J61" s="47"/>
      <c r="K61" s="47"/>
      <c r="L61" s="47"/>
      <c r="M61" s="176"/>
      <c r="N61" s="47"/>
      <c r="O61" s="176"/>
      <c r="P61" s="47"/>
      <c r="Q61" s="70"/>
      <c r="S61" s="61"/>
      <c r="T61" s="234"/>
    </row>
    <row r="62" spans="1:20" s="71" customFormat="1">
      <c r="C62" s="235"/>
      <c r="D62" s="70"/>
      <c r="F62" s="70"/>
      <c r="G62" s="176"/>
      <c r="H62" s="47"/>
      <c r="I62" s="47"/>
      <c r="J62" s="47"/>
      <c r="K62" s="47"/>
      <c r="L62" s="47"/>
      <c r="M62" s="176"/>
      <c r="N62" s="47"/>
      <c r="O62" s="176"/>
      <c r="P62" s="47"/>
      <c r="Q62" s="70"/>
      <c r="S62" s="61"/>
      <c r="T62" s="234"/>
    </row>
    <row r="63" spans="1:20" s="71" customFormat="1">
      <c r="C63" s="235"/>
      <c r="D63" s="70"/>
      <c r="F63" s="70"/>
      <c r="G63" s="176"/>
      <c r="H63" s="47"/>
      <c r="I63" s="47"/>
      <c r="J63" s="47"/>
      <c r="K63" s="47"/>
      <c r="L63" s="47"/>
      <c r="M63" s="176"/>
      <c r="N63" s="47"/>
      <c r="O63" s="176"/>
      <c r="P63" s="47"/>
      <c r="Q63" s="70"/>
      <c r="S63" s="61"/>
      <c r="T63" s="234"/>
    </row>
    <row r="64" spans="1:20" s="71" customFormat="1">
      <c r="C64" s="235"/>
      <c r="D64" s="70"/>
      <c r="F64" s="70"/>
      <c r="G64" s="176"/>
      <c r="H64" s="47"/>
      <c r="I64" s="47"/>
      <c r="J64" s="47"/>
      <c r="K64" s="47"/>
      <c r="L64" s="47"/>
      <c r="M64" s="176"/>
      <c r="N64" s="47"/>
      <c r="O64" s="176"/>
      <c r="P64" s="47"/>
      <c r="Q64" s="70"/>
      <c r="S64" s="61"/>
      <c r="T64" s="234"/>
    </row>
    <row r="65" spans="3:20" s="71" customFormat="1">
      <c r="C65" s="235"/>
      <c r="D65" s="70"/>
      <c r="F65" s="70"/>
      <c r="G65" s="176"/>
      <c r="H65" s="47"/>
      <c r="I65" s="47"/>
      <c r="J65" s="47"/>
      <c r="K65" s="47"/>
      <c r="L65" s="47"/>
      <c r="M65" s="176"/>
      <c r="N65" s="47"/>
      <c r="O65" s="176"/>
      <c r="P65" s="47"/>
      <c r="Q65" s="70"/>
      <c r="S65" s="61"/>
      <c r="T65" s="234"/>
    </row>
    <row r="66" spans="3:20" s="71" customFormat="1">
      <c r="C66" s="235"/>
      <c r="D66" s="70"/>
      <c r="F66" s="70"/>
      <c r="G66" s="176"/>
      <c r="H66" s="47"/>
      <c r="I66" s="47"/>
      <c r="J66" s="47"/>
      <c r="K66" s="47"/>
      <c r="L66" s="47"/>
      <c r="M66" s="176"/>
      <c r="N66" s="47"/>
      <c r="O66" s="176"/>
      <c r="P66" s="47"/>
      <c r="Q66" s="70"/>
      <c r="S66" s="61"/>
      <c r="T66" s="234"/>
    </row>
    <row r="67" spans="3:20" s="71" customFormat="1">
      <c r="C67" s="235"/>
      <c r="D67" s="70"/>
      <c r="F67" s="70"/>
      <c r="G67" s="176"/>
      <c r="H67" s="47"/>
      <c r="I67" s="47"/>
      <c r="J67" s="47"/>
      <c r="K67" s="47"/>
      <c r="L67" s="47"/>
      <c r="M67" s="176"/>
      <c r="N67" s="47"/>
      <c r="O67" s="176"/>
      <c r="P67" s="47"/>
      <c r="Q67" s="70"/>
      <c r="S67" s="61"/>
      <c r="T67" s="234"/>
    </row>
    <row r="68" spans="3:20" s="71" customFormat="1">
      <c r="C68" s="235"/>
      <c r="D68" s="70"/>
      <c r="F68" s="70"/>
      <c r="G68" s="176"/>
      <c r="H68" s="47"/>
      <c r="I68" s="47"/>
      <c r="J68" s="47"/>
      <c r="K68" s="47"/>
      <c r="L68" s="47"/>
      <c r="M68" s="176"/>
      <c r="N68" s="47"/>
      <c r="O68" s="176"/>
      <c r="P68" s="47"/>
      <c r="Q68" s="70"/>
      <c r="S68" s="61"/>
      <c r="T68" s="234"/>
    </row>
    <row r="69" spans="3:20" s="71" customFormat="1">
      <c r="C69" s="235"/>
      <c r="D69" s="70"/>
      <c r="F69" s="70"/>
      <c r="G69" s="176"/>
      <c r="H69" s="47"/>
      <c r="I69" s="47"/>
      <c r="J69" s="47"/>
      <c r="K69" s="47"/>
      <c r="L69" s="47"/>
      <c r="M69" s="176"/>
      <c r="N69" s="47"/>
      <c r="O69" s="176"/>
      <c r="P69" s="47"/>
      <c r="Q69" s="70"/>
      <c r="S69" s="61"/>
      <c r="T69" s="234"/>
    </row>
    <row r="70" spans="3:20" s="71" customFormat="1">
      <c r="C70" s="235"/>
      <c r="D70" s="70"/>
      <c r="F70" s="70"/>
      <c r="G70" s="176"/>
      <c r="H70" s="47"/>
      <c r="I70" s="47"/>
      <c r="J70" s="47"/>
      <c r="K70" s="47"/>
      <c r="L70" s="47"/>
      <c r="M70" s="176"/>
      <c r="N70" s="47"/>
      <c r="O70" s="176"/>
      <c r="P70" s="47"/>
      <c r="Q70" s="70"/>
      <c r="S70" s="61"/>
      <c r="T70" s="234"/>
    </row>
    <row r="71" spans="3:20" s="71" customFormat="1">
      <c r="C71" s="235"/>
      <c r="D71" s="70"/>
      <c r="F71" s="70"/>
      <c r="G71" s="176"/>
      <c r="H71" s="47"/>
      <c r="I71" s="47"/>
      <c r="J71" s="47"/>
      <c r="K71" s="47"/>
      <c r="L71" s="47"/>
      <c r="M71" s="176"/>
      <c r="N71" s="47"/>
      <c r="O71" s="176"/>
      <c r="P71" s="47"/>
      <c r="Q71" s="70"/>
      <c r="S71" s="61"/>
      <c r="T71" s="234"/>
    </row>
    <row r="72" spans="3:20" s="71" customFormat="1">
      <c r="C72" s="235"/>
      <c r="D72" s="70"/>
      <c r="F72" s="70"/>
      <c r="G72" s="176"/>
      <c r="H72" s="47"/>
      <c r="I72" s="47"/>
      <c r="J72" s="47"/>
      <c r="K72" s="47"/>
      <c r="L72" s="47"/>
      <c r="M72" s="176"/>
      <c r="N72" s="47"/>
      <c r="O72" s="176"/>
      <c r="P72" s="47"/>
      <c r="Q72" s="70"/>
      <c r="S72" s="61"/>
      <c r="T72" s="234"/>
    </row>
  </sheetData>
  <mergeCells count="7">
    <mergeCell ref="A52:B52"/>
    <mergeCell ref="A6:Q6"/>
    <mergeCell ref="A12:A13"/>
    <mergeCell ref="B12:B13"/>
    <mergeCell ref="D12:D13"/>
    <mergeCell ref="E12:P12"/>
    <mergeCell ref="Q12:Q13"/>
  </mergeCells>
  <pageMargins left="0.55984251968503906" right="0.27992125984252003" top="0.57519685039370105" bottom="0.50511811023622" header="0.27992125984252003" footer="0.209842519685039"/>
  <pageSetup paperSize="0" scale="95" fitToWidth="0" fitToHeight="0" pageOrder="overThenDown" orientation="landscape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3"/>
  <sheetViews>
    <sheetView workbookViewId="0"/>
  </sheetViews>
  <sheetFormatPr defaultRowHeight="12.75"/>
  <cols>
    <col min="1" max="1" width="9" style="209" customWidth="1"/>
    <col min="2" max="2" width="13.375" style="209" bestFit="1" customWidth="1"/>
    <col min="3" max="3" width="11" style="209" bestFit="1" customWidth="1"/>
    <col min="4" max="4" width="49.75" style="209" customWidth="1"/>
    <col min="5" max="5" width="9.125" style="209" customWidth="1"/>
    <col min="6" max="6" width="9" style="209" customWidth="1"/>
    <col min="7" max="7" width="11.625" style="209" bestFit="1" customWidth="1"/>
    <col min="8" max="8" width="10.125" style="209" bestFit="1" customWidth="1"/>
    <col min="9" max="9" width="8.875" style="209" customWidth="1"/>
    <col min="10" max="10" width="9.25" style="209" customWidth="1"/>
    <col min="11" max="1025" width="8.5" style="209" customWidth="1"/>
    <col min="1026" max="1026" width="9" style="209" customWidth="1"/>
    <col min="1027" max="16384" width="9" style="209"/>
  </cols>
  <sheetData>
    <row r="1" spans="1:8" s="243" customFormat="1">
      <c r="A1" s="37"/>
      <c r="B1" s="209"/>
      <c r="C1" s="209"/>
      <c r="D1" s="209"/>
      <c r="E1" s="209"/>
      <c r="F1" s="209"/>
      <c r="G1" s="209"/>
      <c r="H1" s="209"/>
    </row>
    <row r="2" spans="1:8" s="243" customFormat="1">
      <c r="A2" s="37"/>
      <c r="B2" s="209"/>
      <c r="C2" s="209"/>
      <c r="D2" s="209"/>
      <c r="E2" s="209"/>
      <c r="F2" s="209"/>
      <c r="G2" s="209"/>
      <c r="H2" s="209"/>
    </row>
    <row r="3" spans="1:8" s="243" customFormat="1">
      <c r="A3" s="244"/>
      <c r="B3" s="391" t="s">
        <v>614</v>
      </c>
      <c r="C3" s="391"/>
      <c r="D3" s="391"/>
      <c r="E3" s="391"/>
      <c r="F3" s="391"/>
      <c r="G3" s="391"/>
      <c r="H3" s="391"/>
    </row>
    <row r="4" spans="1:8" s="243" customFormat="1">
      <c r="A4" s="244"/>
      <c r="B4" s="245"/>
      <c r="C4" s="245"/>
      <c r="D4" s="245"/>
      <c r="E4" s="245"/>
      <c r="F4" s="245"/>
      <c r="G4" s="245"/>
      <c r="H4" s="245"/>
    </row>
    <row r="5" spans="1:8" s="243" customFormat="1">
      <c r="A5" s="37" t="s">
        <v>24</v>
      </c>
      <c r="B5" s="246" t="s">
        <v>25</v>
      </c>
      <c r="C5" s="246" t="s">
        <v>26</v>
      </c>
      <c r="D5" s="246" t="s">
        <v>615</v>
      </c>
      <c r="E5" s="246" t="s">
        <v>28</v>
      </c>
      <c r="F5" s="247"/>
      <c r="G5" s="248"/>
      <c r="H5" s="248"/>
    </row>
    <row r="6" spans="1:8" s="243" customFormat="1">
      <c r="A6" s="244"/>
      <c r="B6" s="249" t="s">
        <v>7</v>
      </c>
      <c r="C6" s="249" t="s">
        <v>616</v>
      </c>
      <c r="D6" s="249" t="s">
        <v>9</v>
      </c>
      <c r="E6" s="249" t="s">
        <v>617</v>
      </c>
      <c r="F6" s="249" t="s">
        <v>618</v>
      </c>
      <c r="G6" s="249" t="s">
        <v>619</v>
      </c>
      <c r="H6" s="249" t="s">
        <v>606</v>
      </c>
    </row>
    <row r="7" spans="1:8" s="243" customFormat="1" ht="25.5">
      <c r="A7" s="244"/>
      <c r="B7" s="250">
        <v>88262</v>
      </c>
      <c r="C7" s="251" t="s">
        <v>19</v>
      </c>
      <c r="D7" s="252" t="s">
        <v>620</v>
      </c>
      <c r="E7" s="253" t="s">
        <v>621</v>
      </c>
      <c r="F7" s="254">
        <v>1</v>
      </c>
      <c r="G7" s="255">
        <v>19.739999999999998</v>
      </c>
      <c r="H7" s="255">
        <f t="shared" ref="H7:H13" si="0">F7*G7</f>
        <v>19.739999999999998</v>
      </c>
    </row>
    <row r="8" spans="1:8" s="243" customFormat="1">
      <c r="A8" s="244"/>
      <c r="B8" s="250">
        <v>88316</v>
      </c>
      <c r="C8" s="251" t="s">
        <v>19</v>
      </c>
      <c r="D8" s="252" t="s">
        <v>622</v>
      </c>
      <c r="E8" s="253" t="s">
        <v>621</v>
      </c>
      <c r="F8" s="254">
        <v>2</v>
      </c>
      <c r="G8" s="255">
        <v>16.02</v>
      </c>
      <c r="H8" s="255">
        <f t="shared" si="0"/>
        <v>32.04</v>
      </c>
    </row>
    <row r="9" spans="1:8" s="243" customFormat="1">
      <c r="A9" s="244"/>
      <c r="B9" s="250" t="s">
        <v>623</v>
      </c>
      <c r="C9" s="251" t="s">
        <v>19</v>
      </c>
      <c r="D9" s="252" t="s">
        <v>624</v>
      </c>
      <c r="E9" s="253" t="s">
        <v>625</v>
      </c>
      <c r="F9" s="254">
        <v>0.15</v>
      </c>
      <c r="G9" s="255">
        <v>26.28</v>
      </c>
      <c r="H9" s="255">
        <f t="shared" si="0"/>
        <v>3.9420000000000002</v>
      </c>
    </row>
    <row r="10" spans="1:8" s="243" customFormat="1" ht="38.25">
      <c r="A10" s="244"/>
      <c r="B10" s="250" t="s">
        <v>626</v>
      </c>
      <c r="C10" s="251" t="s">
        <v>19</v>
      </c>
      <c r="D10" s="252" t="s">
        <v>627</v>
      </c>
      <c r="E10" s="253" t="s">
        <v>113</v>
      </c>
      <c r="F10" s="254">
        <v>1</v>
      </c>
      <c r="G10" s="255">
        <v>6.8</v>
      </c>
      <c r="H10" s="255">
        <f t="shared" si="0"/>
        <v>6.8</v>
      </c>
    </row>
    <row r="11" spans="1:8" s="243" customFormat="1" ht="38.25">
      <c r="A11" s="244"/>
      <c r="B11" s="250" t="s">
        <v>628</v>
      </c>
      <c r="C11" s="251" t="s">
        <v>19</v>
      </c>
      <c r="D11" s="252" t="s">
        <v>629</v>
      </c>
      <c r="E11" s="253" t="s">
        <v>28</v>
      </c>
      <c r="F11" s="254">
        <v>1</v>
      </c>
      <c r="G11" s="255">
        <v>445</v>
      </c>
      <c r="H11" s="255">
        <f t="shared" si="0"/>
        <v>445</v>
      </c>
    </row>
    <row r="12" spans="1:8" s="243" customFormat="1" ht="25.5">
      <c r="A12" s="244"/>
      <c r="B12" s="256" t="s">
        <v>630</v>
      </c>
      <c r="C12" s="257" t="s">
        <v>19</v>
      </c>
      <c r="D12" s="258" t="s">
        <v>631</v>
      </c>
      <c r="E12" s="259" t="s">
        <v>113</v>
      </c>
      <c r="F12" s="260">
        <v>4</v>
      </c>
      <c r="G12" s="261">
        <v>9.9499999999999993</v>
      </c>
      <c r="H12" s="255">
        <f t="shared" si="0"/>
        <v>39.799999999999997</v>
      </c>
    </row>
    <row r="13" spans="1:8" s="243" customFormat="1" ht="38.25">
      <c r="A13" s="244"/>
      <c r="B13" s="256"/>
      <c r="C13" s="257"/>
      <c r="D13" s="252" t="s">
        <v>632</v>
      </c>
      <c r="E13" s="259" t="s">
        <v>59</v>
      </c>
      <c r="F13" s="260">
        <v>0.01</v>
      </c>
      <c r="G13" s="261">
        <v>403.69</v>
      </c>
      <c r="H13" s="255">
        <f t="shared" si="0"/>
        <v>4.0369000000000002</v>
      </c>
    </row>
    <row r="14" spans="1:8" s="243" customFormat="1">
      <c r="A14" s="244"/>
      <c r="B14" s="391" t="s">
        <v>633</v>
      </c>
      <c r="C14" s="391"/>
      <c r="D14" s="391"/>
      <c r="E14" s="391"/>
      <c r="F14" s="391"/>
      <c r="G14" s="391"/>
      <c r="H14" s="262">
        <f>SUM(H7:H13)</f>
        <v>551.35889999999995</v>
      </c>
    </row>
    <row r="15" spans="1:8" s="243" customFormat="1">
      <c r="A15" s="244"/>
      <c r="B15" s="209"/>
      <c r="C15" s="209"/>
      <c r="D15" s="209"/>
      <c r="E15" s="209"/>
      <c r="F15" s="209"/>
      <c r="G15" s="209"/>
      <c r="H15" s="209"/>
    </row>
    <row r="16" spans="1:8" s="243" customFormat="1">
      <c r="A16" s="244" t="s">
        <v>29</v>
      </c>
      <c r="B16" s="246" t="s">
        <v>25</v>
      </c>
      <c r="C16" s="246" t="s">
        <v>30</v>
      </c>
      <c r="D16" s="246" t="s">
        <v>31</v>
      </c>
      <c r="E16" s="246" t="s">
        <v>28</v>
      </c>
      <c r="F16" s="247"/>
      <c r="G16" s="248"/>
      <c r="H16" s="248"/>
    </row>
    <row r="17" spans="1:10" s="243" customFormat="1">
      <c r="A17" s="244"/>
      <c r="B17" s="249" t="s">
        <v>7</v>
      </c>
      <c r="C17" s="249" t="s">
        <v>616</v>
      </c>
      <c r="D17" s="249" t="s">
        <v>9</v>
      </c>
      <c r="E17" s="249" t="s">
        <v>617</v>
      </c>
      <c r="F17" s="249" t="s">
        <v>618</v>
      </c>
      <c r="G17" s="249" t="s">
        <v>619</v>
      </c>
      <c r="H17" s="249" t="s">
        <v>606</v>
      </c>
    </row>
    <row r="18" spans="1:10" s="243" customFormat="1">
      <c r="A18" s="244"/>
      <c r="B18" s="250" t="s">
        <v>634</v>
      </c>
      <c r="C18" s="251"/>
      <c r="D18" s="252" t="s">
        <v>635</v>
      </c>
      <c r="E18" s="263" t="s">
        <v>32</v>
      </c>
      <c r="F18" s="264">
        <v>1</v>
      </c>
      <c r="G18" s="265">
        <v>320</v>
      </c>
      <c r="H18" s="266">
        <f>F18*G18</f>
        <v>320</v>
      </c>
    </row>
    <row r="19" spans="1:10" s="243" customFormat="1" ht="25.5">
      <c r="A19" s="244"/>
      <c r="B19" s="250" t="s">
        <v>634</v>
      </c>
      <c r="C19" s="251"/>
      <c r="D19" s="252" t="s">
        <v>636</v>
      </c>
      <c r="E19" s="263" t="s">
        <v>59</v>
      </c>
      <c r="F19" s="264">
        <v>8</v>
      </c>
      <c r="G19" s="265">
        <v>10</v>
      </c>
      <c r="H19" s="265">
        <f>F19*G19</f>
        <v>80</v>
      </c>
    </row>
    <row r="20" spans="1:10" s="243" customFormat="1">
      <c r="A20" s="244"/>
      <c r="B20" s="391" t="s">
        <v>633</v>
      </c>
      <c r="C20" s="391"/>
      <c r="D20" s="391"/>
      <c r="E20" s="391"/>
      <c r="F20" s="391"/>
      <c r="G20" s="391"/>
      <c r="H20" s="262">
        <f>SUM(H18:H19)</f>
        <v>400</v>
      </c>
    </row>
    <row r="21" spans="1:10" s="243" customFormat="1">
      <c r="A21" s="244"/>
      <c r="B21" s="209"/>
      <c r="C21" s="209"/>
      <c r="D21" s="267"/>
      <c r="E21" s="209"/>
      <c r="F21" s="209"/>
      <c r="G21" s="268"/>
      <c r="H21" s="268"/>
    </row>
    <row r="22" spans="1:10" s="243" customFormat="1">
      <c r="A22" s="244" t="s">
        <v>66</v>
      </c>
      <c r="B22" s="246" t="s">
        <v>25</v>
      </c>
      <c r="C22" s="246" t="s">
        <v>67</v>
      </c>
      <c r="D22" s="246" t="s">
        <v>637</v>
      </c>
      <c r="E22" s="246" t="s">
        <v>28</v>
      </c>
      <c r="F22" s="247"/>
      <c r="G22" s="248"/>
      <c r="H22" s="248"/>
    </row>
    <row r="23" spans="1:10" s="243" customFormat="1">
      <c r="A23" s="244"/>
      <c r="B23" s="249" t="s">
        <v>7</v>
      </c>
      <c r="C23" s="249" t="s">
        <v>616</v>
      </c>
      <c r="D23" s="249" t="s">
        <v>9</v>
      </c>
      <c r="E23" s="249" t="s">
        <v>617</v>
      </c>
      <c r="F23" s="249" t="s">
        <v>618</v>
      </c>
      <c r="G23" s="249" t="s">
        <v>619</v>
      </c>
      <c r="H23" s="249" t="s">
        <v>606</v>
      </c>
    </row>
    <row r="24" spans="1:10" s="243" customFormat="1">
      <c r="A24" s="244"/>
      <c r="B24" s="252">
        <v>88316</v>
      </c>
      <c r="C24" s="251" t="s">
        <v>19</v>
      </c>
      <c r="D24" s="252" t="s">
        <v>622</v>
      </c>
      <c r="E24" s="269" t="s">
        <v>621</v>
      </c>
      <c r="F24" s="252">
        <v>13</v>
      </c>
      <c r="G24" s="270">
        <v>16.02</v>
      </c>
      <c r="H24" s="266">
        <f>F24*G24</f>
        <v>208.26</v>
      </c>
    </row>
    <row r="25" spans="1:10" s="243" customFormat="1">
      <c r="A25" s="244"/>
      <c r="B25" s="252">
        <v>88309</v>
      </c>
      <c r="C25" s="251" t="s">
        <v>19</v>
      </c>
      <c r="D25" s="252" t="s">
        <v>638</v>
      </c>
      <c r="E25" s="269" t="s">
        <v>621</v>
      </c>
      <c r="F25" s="252">
        <v>1.3</v>
      </c>
      <c r="G25" s="270">
        <v>19.98</v>
      </c>
      <c r="H25" s="266">
        <f>F25*G25</f>
        <v>25.974</v>
      </c>
    </row>
    <row r="26" spans="1:10" s="243" customFormat="1">
      <c r="A26" s="244"/>
      <c r="B26" s="391" t="s">
        <v>633</v>
      </c>
      <c r="C26" s="391"/>
      <c r="D26" s="391"/>
      <c r="E26" s="391"/>
      <c r="F26" s="391"/>
      <c r="G26" s="391"/>
      <c r="H26" s="262">
        <f>SUM(H24:H25)</f>
        <v>234.23399999999998</v>
      </c>
    </row>
    <row r="27" spans="1:10" s="243" customFormat="1">
      <c r="A27" s="244"/>
      <c r="B27" s="271"/>
      <c r="C27" s="271"/>
      <c r="D27" s="271"/>
      <c r="E27" s="271"/>
      <c r="F27" s="271"/>
      <c r="G27" s="271"/>
      <c r="H27" s="271"/>
    </row>
    <row r="28" spans="1:10" s="243" customFormat="1" ht="51">
      <c r="A28" s="244" t="s">
        <v>122</v>
      </c>
      <c r="B28" s="246" t="s">
        <v>25</v>
      </c>
      <c r="C28" s="246" t="s">
        <v>125</v>
      </c>
      <c r="D28" s="272" t="s">
        <v>639</v>
      </c>
      <c r="E28" s="273" t="s">
        <v>28</v>
      </c>
      <c r="F28" s="274">
        <v>1</v>
      </c>
      <c r="G28" s="275"/>
      <c r="H28" s="275"/>
    </row>
    <row r="29" spans="1:10" s="243" customFormat="1">
      <c r="A29" s="244"/>
      <c r="B29" s="249" t="s">
        <v>7</v>
      </c>
      <c r="C29" s="249" t="s">
        <v>616</v>
      </c>
      <c r="D29" s="249" t="s">
        <v>9</v>
      </c>
      <c r="E29" s="249" t="s">
        <v>617</v>
      </c>
      <c r="F29" s="249" t="s">
        <v>618</v>
      </c>
      <c r="G29" s="249" t="s">
        <v>619</v>
      </c>
      <c r="H29" s="249" t="s">
        <v>606</v>
      </c>
    </row>
    <row r="30" spans="1:10" s="243" customFormat="1">
      <c r="A30" s="244"/>
      <c r="B30" s="251">
        <v>88315</v>
      </c>
      <c r="C30" s="251" t="s">
        <v>19</v>
      </c>
      <c r="D30" s="276" t="s">
        <v>640</v>
      </c>
      <c r="E30" s="253" t="s">
        <v>21</v>
      </c>
      <c r="F30" s="263">
        <v>0.3</v>
      </c>
      <c r="G30" s="277">
        <v>19.86</v>
      </c>
      <c r="H30" s="277">
        <f>G30*F30</f>
        <v>5.9579999999999993</v>
      </c>
    </row>
    <row r="31" spans="1:10" s="243" customFormat="1" ht="25.5">
      <c r="A31" s="244"/>
      <c r="B31" s="251">
        <v>88251</v>
      </c>
      <c r="C31" s="251" t="s">
        <v>19</v>
      </c>
      <c r="D31" s="276" t="s">
        <v>641</v>
      </c>
      <c r="E31" s="253" t="s">
        <v>21</v>
      </c>
      <c r="F31" s="263">
        <v>0.3</v>
      </c>
      <c r="G31" s="277">
        <v>16.940000000000001</v>
      </c>
      <c r="H31" s="277">
        <f>G31*F31</f>
        <v>5.0819999999999999</v>
      </c>
    </row>
    <row r="32" spans="1:10" s="243" customFormat="1" ht="25.5">
      <c r="A32" s="244"/>
      <c r="B32" s="251" t="s">
        <v>634</v>
      </c>
      <c r="C32" s="251"/>
      <c r="D32" s="276" t="s">
        <v>642</v>
      </c>
      <c r="E32" s="278" t="s">
        <v>113</v>
      </c>
      <c r="F32" s="279">
        <v>1</v>
      </c>
      <c r="G32" s="277">
        <v>66.849999999999994</v>
      </c>
      <c r="H32" s="277">
        <f>G32*F32</f>
        <v>66.849999999999994</v>
      </c>
      <c r="J32" s="243">
        <v>361.17</v>
      </c>
    </row>
    <row r="33" spans="1:8" s="243" customFormat="1" ht="25.5">
      <c r="A33" s="244"/>
      <c r="B33" s="280"/>
      <c r="C33" s="280"/>
      <c r="D33" s="276" t="s">
        <v>643</v>
      </c>
      <c r="E33" s="251"/>
      <c r="F33" s="281"/>
      <c r="G33" s="282"/>
      <c r="H33" s="281"/>
    </row>
    <row r="34" spans="1:8" s="243" customFormat="1">
      <c r="A34" s="244"/>
      <c r="B34" s="280"/>
      <c r="C34" s="280"/>
      <c r="D34" s="276" t="s">
        <v>644</v>
      </c>
      <c r="E34" s="251"/>
      <c r="F34" s="281"/>
      <c r="G34" s="282"/>
      <c r="H34" s="281"/>
    </row>
    <row r="35" spans="1:8" s="243" customFormat="1">
      <c r="A35" s="244"/>
      <c r="B35" s="280"/>
      <c r="C35" s="280"/>
      <c r="D35" s="101" t="s">
        <v>606</v>
      </c>
      <c r="E35" s="283"/>
      <c r="F35" s="283"/>
      <c r="G35" s="283"/>
      <c r="H35" s="284">
        <f>H32+H31+H30</f>
        <v>77.889999999999986</v>
      </c>
    </row>
    <row r="36" spans="1:8" s="243" customFormat="1">
      <c r="A36" s="244"/>
      <c r="B36" s="209"/>
      <c r="C36" s="209"/>
      <c r="D36" s="209" t="s">
        <v>645</v>
      </c>
      <c r="E36" s="209"/>
      <c r="F36" s="209"/>
      <c r="G36" s="209"/>
      <c r="H36" s="209"/>
    </row>
    <row r="37" spans="1:8" s="243" customFormat="1">
      <c r="A37" s="244"/>
      <c r="B37" s="209"/>
      <c r="C37" s="209"/>
      <c r="D37" s="209"/>
      <c r="E37" s="209"/>
      <c r="F37" s="209"/>
      <c r="G37" s="209"/>
      <c r="H37" s="209"/>
    </row>
    <row r="38" spans="1:8" s="243" customFormat="1" ht="25.5">
      <c r="A38" s="285"/>
      <c r="B38" s="246" t="s">
        <v>25</v>
      </c>
      <c r="C38" s="246" t="s">
        <v>154</v>
      </c>
      <c r="D38" s="286" t="s">
        <v>646</v>
      </c>
      <c r="E38" s="287" t="s">
        <v>647</v>
      </c>
      <c r="F38" s="246"/>
      <c r="G38" s="246"/>
      <c r="H38" s="246"/>
    </row>
    <row r="39" spans="1:8" s="243" customFormat="1" ht="25.5">
      <c r="A39" s="244"/>
      <c r="B39" s="249" t="s">
        <v>7</v>
      </c>
      <c r="C39" s="249" t="s">
        <v>616</v>
      </c>
      <c r="D39" s="288" t="s">
        <v>9</v>
      </c>
      <c r="E39" s="289" t="s">
        <v>617</v>
      </c>
      <c r="F39" s="290" t="s">
        <v>618</v>
      </c>
      <c r="G39" s="291" t="s">
        <v>648</v>
      </c>
      <c r="H39" s="291" t="s">
        <v>606</v>
      </c>
    </row>
    <row r="40" spans="1:8" s="243" customFormat="1">
      <c r="A40" s="244"/>
      <c r="B40" s="251" t="s">
        <v>634</v>
      </c>
      <c r="C40" s="251"/>
      <c r="D40" s="283" t="s">
        <v>649</v>
      </c>
      <c r="E40" s="278" t="s">
        <v>113</v>
      </c>
      <c r="F40" s="292">
        <v>18</v>
      </c>
      <c r="G40" s="293">
        <v>31.25</v>
      </c>
      <c r="H40" s="293">
        <f t="shared" ref="H40:H48" si="1">F40*G40</f>
        <v>562.5</v>
      </c>
    </row>
    <row r="41" spans="1:8" s="243" customFormat="1">
      <c r="A41" s="244"/>
      <c r="B41" s="251" t="s">
        <v>634</v>
      </c>
      <c r="C41" s="251"/>
      <c r="D41" s="283" t="s">
        <v>650</v>
      </c>
      <c r="E41" s="278" t="s">
        <v>28</v>
      </c>
      <c r="F41" s="292">
        <v>10.4</v>
      </c>
      <c r="G41" s="293">
        <v>181.35</v>
      </c>
      <c r="H41" s="293">
        <f t="shared" si="1"/>
        <v>1886.04</v>
      </c>
    </row>
    <row r="42" spans="1:8" s="243" customFormat="1">
      <c r="A42" s="244"/>
      <c r="B42" s="251" t="s">
        <v>634</v>
      </c>
      <c r="C42" s="251"/>
      <c r="D42" s="283" t="s">
        <v>651</v>
      </c>
      <c r="E42" s="278" t="s">
        <v>113</v>
      </c>
      <c r="F42" s="292">
        <v>7</v>
      </c>
      <c r="G42" s="293">
        <v>28</v>
      </c>
      <c r="H42" s="293">
        <f t="shared" si="1"/>
        <v>196</v>
      </c>
    </row>
    <row r="43" spans="1:8" s="243" customFormat="1">
      <c r="A43" s="244"/>
      <c r="B43" s="251" t="s">
        <v>634</v>
      </c>
      <c r="C43" s="251"/>
      <c r="D43" s="283" t="s">
        <v>652</v>
      </c>
      <c r="E43" s="278" t="s">
        <v>32</v>
      </c>
      <c r="F43" s="292">
        <v>2</v>
      </c>
      <c r="G43" s="293">
        <v>37</v>
      </c>
      <c r="H43" s="293">
        <f t="shared" si="1"/>
        <v>74</v>
      </c>
    </row>
    <row r="44" spans="1:8" s="243" customFormat="1">
      <c r="A44" s="244"/>
      <c r="B44" s="251" t="s">
        <v>634</v>
      </c>
      <c r="C44" s="251"/>
      <c r="D44" s="283" t="s">
        <v>653</v>
      </c>
      <c r="E44" s="278" t="s">
        <v>113</v>
      </c>
      <c r="F44" s="292">
        <v>1</v>
      </c>
      <c r="G44" s="293">
        <v>181.89</v>
      </c>
      <c r="H44" s="293">
        <f t="shared" si="1"/>
        <v>181.89</v>
      </c>
    </row>
    <row r="45" spans="1:8" s="243" customFormat="1">
      <c r="A45" s="244"/>
      <c r="B45" s="251" t="s">
        <v>634</v>
      </c>
      <c r="C45" s="251"/>
      <c r="D45" s="283" t="s">
        <v>654</v>
      </c>
      <c r="E45" s="278" t="s">
        <v>113</v>
      </c>
      <c r="F45" s="292">
        <v>8</v>
      </c>
      <c r="G45" s="293">
        <v>612.27</v>
      </c>
      <c r="H45" s="293">
        <f t="shared" si="1"/>
        <v>4898.16</v>
      </c>
    </row>
    <row r="46" spans="1:8" s="243" customFormat="1">
      <c r="A46" s="244"/>
      <c r="B46" s="251" t="s">
        <v>634</v>
      </c>
      <c r="C46" s="251"/>
      <c r="D46" s="283" t="s">
        <v>655</v>
      </c>
      <c r="E46" s="278" t="s">
        <v>32</v>
      </c>
      <c r="F46" s="292">
        <v>1</v>
      </c>
      <c r="G46" s="293">
        <v>78</v>
      </c>
      <c r="H46" s="293">
        <f t="shared" si="1"/>
        <v>78</v>
      </c>
    </row>
    <row r="47" spans="1:8" s="243" customFormat="1">
      <c r="A47" s="244"/>
      <c r="B47" s="251" t="s">
        <v>634</v>
      </c>
      <c r="C47" s="251"/>
      <c r="D47" s="283" t="s">
        <v>656</v>
      </c>
      <c r="E47" s="278" t="s">
        <v>90</v>
      </c>
      <c r="F47" s="292">
        <v>2</v>
      </c>
      <c r="G47" s="293">
        <v>19.649999999999999</v>
      </c>
      <c r="H47" s="293">
        <f t="shared" si="1"/>
        <v>39.299999999999997</v>
      </c>
    </row>
    <row r="48" spans="1:8" s="243" customFormat="1" ht="38.25">
      <c r="A48" s="244"/>
      <c r="B48" s="294">
        <v>2433</v>
      </c>
      <c r="C48" s="251"/>
      <c r="D48" s="276" t="s">
        <v>657</v>
      </c>
      <c r="E48" s="278" t="s">
        <v>647</v>
      </c>
      <c r="F48" s="292">
        <v>4</v>
      </c>
      <c r="G48" s="293">
        <v>7.91</v>
      </c>
      <c r="H48" s="293">
        <f t="shared" si="1"/>
        <v>31.64</v>
      </c>
    </row>
    <row r="49" spans="1:18" s="243" customFormat="1">
      <c r="A49" s="244"/>
      <c r="B49" s="294"/>
      <c r="C49" s="251"/>
      <c r="D49" s="101" t="s">
        <v>658</v>
      </c>
      <c r="E49" s="283"/>
      <c r="F49" s="292"/>
      <c r="G49" s="293"/>
      <c r="H49" s="295">
        <f>SUM(H40:H48,2)</f>
        <v>7949.5300000000007</v>
      </c>
    </row>
    <row r="50" spans="1:18" s="243" customFormat="1">
      <c r="A50" s="244"/>
      <c r="B50" s="296">
        <v>88315</v>
      </c>
      <c r="C50" s="251" t="s">
        <v>19</v>
      </c>
      <c r="D50" s="276" t="s">
        <v>640</v>
      </c>
      <c r="E50" s="278" t="s">
        <v>21</v>
      </c>
      <c r="F50" s="292">
        <v>8</v>
      </c>
      <c r="G50" s="293">
        <v>19.86</v>
      </c>
      <c r="H50" s="293">
        <f>F50*G50</f>
        <v>158.88</v>
      </c>
    </row>
    <row r="51" spans="1:18" s="243" customFormat="1" ht="25.5">
      <c r="A51" s="244"/>
      <c r="B51" s="296">
        <v>88251</v>
      </c>
      <c r="C51" s="251" t="s">
        <v>19</v>
      </c>
      <c r="D51" s="276" t="s">
        <v>641</v>
      </c>
      <c r="E51" s="278" t="s">
        <v>21</v>
      </c>
      <c r="F51" s="292">
        <v>8</v>
      </c>
      <c r="G51" s="293">
        <v>16.940000000000001</v>
      </c>
      <c r="H51" s="293">
        <f>F51*G51</f>
        <v>135.52000000000001</v>
      </c>
    </row>
    <row r="52" spans="1:18" s="243" customFormat="1">
      <c r="A52" s="244"/>
      <c r="B52" s="296">
        <v>88309</v>
      </c>
      <c r="C52" s="251" t="s">
        <v>19</v>
      </c>
      <c r="D52" s="251" t="s">
        <v>638</v>
      </c>
      <c r="E52" s="278" t="s">
        <v>21</v>
      </c>
      <c r="F52" s="292">
        <v>8</v>
      </c>
      <c r="G52" s="293">
        <v>19.98</v>
      </c>
      <c r="H52" s="293">
        <f>F52*G52</f>
        <v>159.84</v>
      </c>
    </row>
    <row r="53" spans="1:18" s="243" customFormat="1">
      <c r="A53" s="244"/>
      <c r="B53" s="296">
        <v>88316</v>
      </c>
      <c r="C53" s="251" t="s">
        <v>19</v>
      </c>
      <c r="D53" s="251" t="s">
        <v>622</v>
      </c>
      <c r="E53" s="278" t="s">
        <v>21</v>
      </c>
      <c r="F53" s="292">
        <v>8</v>
      </c>
      <c r="G53" s="293">
        <v>16.02</v>
      </c>
      <c r="H53" s="293">
        <f>F53*G53</f>
        <v>128.16</v>
      </c>
    </row>
    <row r="54" spans="1:18" s="243" customFormat="1">
      <c r="A54" s="244"/>
      <c r="B54" s="294"/>
      <c r="C54" s="251"/>
      <c r="D54" s="101" t="s">
        <v>658</v>
      </c>
      <c r="E54" s="283"/>
      <c r="F54" s="292"/>
      <c r="G54" s="293"/>
      <c r="H54" s="295">
        <f>SUM(H50:H53)</f>
        <v>582.4</v>
      </c>
    </row>
    <row r="55" spans="1:18" s="243" customFormat="1">
      <c r="A55" s="244"/>
      <c r="B55" s="294"/>
      <c r="C55" s="251"/>
      <c r="D55" s="101" t="s">
        <v>659</v>
      </c>
      <c r="E55" s="283"/>
      <c r="F55" s="292"/>
      <c r="G55" s="293"/>
      <c r="H55" s="295"/>
    </row>
    <row r="56" spans="1:18" s="243" customFormat="1">
      <c r="A56" s="244"/>
      <c r="B56" s="294"/>
      <c r="C56" s="251"/>
      <c r="D56" s="297" t="s">
        <v>606</v>
      </c>
      <c r="E56" s="298"/>
      <c r="F56" s="298"/>
      <c r="G56" s="299"/>
      <c r="H56" s="300">
        <f>SUM(H49+H54)</f>
        <v>8531.93</v>
      </c>
      <c r="J56" s="243">
        <f>4*2.6</f>
        <v>10.4</v>
      </c>
    </row>
    <row r="57" spans="1:18" s="243" customFormat="1">
      <c r="A57" s="244"/>
      <c r="B57" s="294"/>
      <c r="C57" s="296"/>
      <c r="D57" s="101" t="s">
        <v>660</v>
      </c>
      <c r="E57" s="301"/>
      <c r="F57" s="301"/>
      <c r="G57" s="301"/>
      <c r="H57" s="295">
        <v>820.38</v>
      </c>
      <c r="J57" s="302">
        <f>H56/J56</f>
        <v>820.37788461538457</v>
      </c>
    </row>
    <row r="58" spans="1:18" s="243" customFormat="1">
      <c r="A58" s="244"/>
      <c r="B58" s="303"/>
      <c r="C58" s="209"/>
      <c r="D58" s="91"/>
      <c r="E58" s="303"/>
      <c r="F58" s="303"/>
      <c r="G58" s="304"/>
      <c r="H58" s="305"/>
    </row>
    <row r="59" spans="1:18" s="243" customFormat="1" ht="38.25">
      <c r="A59" s="244"/>
      <c r="B59" s="246" t="s">
        <v>25</v>
      </c>
      <c r="C59" s="246" t="s">
        <v>218</v>
      </c>
      <c r="D59" s="286" t="s">
        <v>219</v>
      </c>
      <c r="E59" s="287" t="s">
        <v>647</v>
      </c>
      <c r="F59" s="246"/>
      <c r="G59" s="246"/>
      <c r="H59" s="246"/>
    </row>
    <row r="60" spans="1:18" s="243" customFormat="1" ht="25.5">
      <c r="A60" s="244"/>
      <c r="B60" s="249" t="s">
        <v>7</v>
      </c>
      <c r="C60" s="249" t="s">
        <v>616</v>
      </c>
      <c r="D60" s="288" t="s">
        <v>9</v>
      </c>
      <c r="E60" s="289" t="s">
        <v>617</v>
      </c>
      <c r="F60" s="290" t="s">
        <v>618</v>
      </c>
      <c r="G60" s="291" t="s">
        <v>648</v>
      </c>
      <c r="H60" s="291" t="s">
        <v>606</v>
      </c>
    </row>
    <row r="61" spans="1:18" s="243" customFormat="1">
      <c r="A61" s="244"/>
      <c r="B61" s="306" t="s">
        <v>661</v>
      </c>
      <c r="C61" s="251" t="s">
        <v>19</v>
      </c>
      <c r="D61" s="276" t="s">
        <v>662</v>
      </c>
      <c r="E61" s="278" t="s">
        <v>21</v>
      </c>
      <c r="F61" s="281">
        <v>3.5</v>
      </c>
      <c r="G61" s="307">
        <v>20.71</v>
      </c>
      <c r="H61" s="266">
        <f>F61*G61</f>
        <v>72.484999999999999</v>
      </c>
      <c r="I61" s="281"/>
    </row>
    <row r="62" spans="1:18" s="243" customFormat="1">
      <c r="A62" s="244"/>
      <c r="B62" s="306" t="s">
        <v>663</v>
      </c>
      <c r="C62" s="251" t="s">
        <v>19</v>
      </c>
      <c r="D62" s="308" t="s">
        <v>664</v>
      </c>
      <c r="E62" s="278" t="s">
        <v>21</v>
      </c>
      <c r="F62" s="281">
        <v>1.2</v>
      </c>
      <c r="G62" s="307">
        <v>17.23</v>
      </c>
      <c r="H62" s="266">
        <f>F62*G62</f>
        <v>20.675999999999998</v>
      </c>
      <c r="I62" s="281"/>
      <c r="L62" s="209"/>
      <c r="M62" s="209"/>
      <c r="N62" s="209"/>
      <c r="O62" s="209"/>
      <c r="P62" s="209"/>
      <c r="Q62" s="209"/>
      <c r="R62" s="209"/>
    </row>
    <row r="63" spans="1:18" s="243" customFormat="1">
      <c r="A63" s="244"/>
      <c r="B63" s="306" t="s">
        <v>665</v>
      </c>
      <c r="C63" s="251" t="s">
        <v>19</v>
      </c>
      <c r="D63" s="251" t="s">
        <v>638</v>
      </c>
      <c r="E63" s="278" t="s">
        <v>21</v>
      </c>
      <c r="F63" s="282">
        <v>0.8</v>
      </c>
      <c r="G63" s="307">
        <v>19.98</v>
      </c>
      <c r="H63" s="266">
        <f>F63*G63</f>
        <v>15.984000000000002</v>
      </c>
      <c r="I63" s="281"/>
      <c r="L63" s="209"/>
      <c r="M63" s="209"/>
      <c r="N63" s="209"/>
      <c r="O63" s="209"/>
      <c r="P63" s="209"/>
      <c r="Q63" s="209"/>
      <c r="R63" s="209"/>
    </row>
    <row r="64" spans="1:18" s="243" customFormat="1" ht="25.5">
      <c r="A64" s="244"/>
      <c r="B64" s="309" t="s">
        <v>666</v>
      </c>
      <c r="C64" s="251" t="s">
        <v>19</v>
      </c>
      <c r="D64" s="252" t="s">
        <v>309</v>
      </c>
      <c r="E64" s="253" t="s">
        <v>32</v>
      </c>
      <c r="F64" s="282">
        <v>3</v>
      </c>
      <c r="G64" s="307">
        <v>78.459999999999994</v>
      </c>
      <c r="H64" s="266">
        <f t="shared" ref="H64:H85" si="2">(G64*F64)</f>
        <v>235.38</v>
      </c>
      <c r="I64" s="310"/>
      <c r="L64" s="209"/>
      <c r="M64" s="209"/>
      <c r="N64" s="209"/>
      <c r="O64" s="209"/>
      <c r="P64" s="209"/>
      <c r="Q64" s="209"/>
      <c r="R64" s="209"/>
    </row>
    <row r="65" spans="1:18" s="243" customFormat="1" ht="25.5">
      <c r="A65" s="244"/>
      <c r="B65" s="309" t="s">
        <v>667</v>
      </c>
      <c r="C65" s="251" t="s">
        <v>19</v>
      </c>
      <c r="D65" s="252" t="s">
        <v>238</v>
      </c>
      <c r="E65" s="253" t="s">
        <v>113</v>
      </c>
      <c r="F65" s="282">
        <f>(3*2.4)+1.5</f>
        <v>8.6999999999999993</v>
      </c>
      <c r="G65" s="307">
        <v>55.17</v>
      </c>
      <c r="H65" s="266">
        <f t="shared" si="2"/>
        <v>479.97899999999998</v>
      </c>
      <c r="I65" s="310"/>
      <c r="L65" s="311"/>
      <c r="M65" s="209"/>
      <c r="N65" s="312"/>
      <c r="O65" s="313"/>
      <c r="P65" s="314"/>
      <c r="Q65" s="314"/>
      <c r="R65" s="315"/>
    </row>
    <row r="66" spans="1:18" s="243" customFormat="1" ht="25.5">
      <c r="A66" s="244"/>
      <c r="B66" s="309" t="s">
        <v>668</v>
      </c>
      <c r="C66" s="251" t="s">
        <v>19</v>
      </c>
      <c r="D66" s="252" t="s">
        <v>669</v>
      </c>
      <c r="E66" s="253" t="s">
        <v>59</v>
      </c>
      <c r="F66" s="281">
        <v>0.81599999999999995</v>
      </c>
      <c r="G66" s="307">
        <v>500.37</v>
      </c>
      <c r="H66" s="266">
        <f t="shared" si="2"/>
        <v>408.30192</v>
      </c>
      <c r="I66" s="310"/>
    </row>
    <row r="67" spans="1:18" s="243" customFormat="1" ht="51">
      <c r="A67" s="244"/>
      <c r="B67" s="309">
        <v>100578</v>
      </c>
      <c r="C67" s="251" t="s">
        <v>19</v>
      </c>
      <c r="D67" s="252" t="s">
        <v>670</v>
      </c>
      <c r="E67" s="253" t="s">
        <v>671</v>
      </c>
      <c r="F67" s="282">
        <v>1</v>
      </c>
      <c r="G67" s="307">
        <v>443.46</v>
      </c>
      <c r="H67" s="266">
        <f t="shared" si="2"/>
        <v>443.46</v>
      </c>
      <c r="I67" s="310"/>
    </row>
    <row r="68" spans="1:18" s="243" customFormat="1" ht="38.25">
      <c r="A68" s="244"/>
      <c r="B68" s="309" t="s">
        <v>672</v>
      </c>
      <c r="C68" s="251" t="s">
        <v>19</v>
      </c>
      <c r="D68" s="252" t="s">
        <v>673</v>
      </c>
      <c r="E68" s="253" t="s">
        <v>32</v>
      </c>
      <c r="F68" s="281">
        <v>1</v>
      </c>
      <c r="G68" s="307">
        <v>406.97</v>
      </c>
      <c r="H68" s="266">
        <f t="shared" si="2"/>
        <v>406.97</v>
      </c>
      <c r="I68" s="310"/>
    </row>
    <row r="69" spans="1:18" s="243" customFormat="1" ht="38.25">
      <c r="A69" s="244"/>
      <c r="B69" s="309" t="s">
        <v>674</v>
      </c>
      <c r="C69" s="251" t="s">
        <v>19</v>
      </c>
      <c r="D69" s="252" t="s">
        <v>675</v>
      </c>
      <c r="E69" s="253" t="s">
        <v>113</v>
      </c>
      <c r="F69" s="281">
        <v>18.55</v>
      </c>
      <c r="G69" s="307">
        <v>45.32</v>
      </c>
      <c r="H69" s="266">
        <f t="shared" si="2"/>
        <v>840.68600000000004</v>
      </c>
      <c r="I69" s="310"/>
    </row>
    <row r="70" spans="1:18" s="243" customFormat="1" ht="38.25">
      <c r="A70" s="244"/>
      <c r="B70" s="309" t="s">
        <v>676</v>
      </c>
      <c r="C70" s="251" t="s">
        <v>19</v>
      </c>
      <c r="D70" s="252" t="s">
        <v>677</v>
      </c>
      <c r="E70" s="253" t="s">
        <v>113</v>
      </c>
      <c r="F70" s="281">
        <v>6.25</v>
      </c>
      <c r="G70" s="307">
        <v>30.88</v>
      </c>
      <c r="H70" s="266">
        <f t="shared" si="2"/>
        <v>193</v>
      </c>
      <c r="I70" s="310"/>
    </row>
    <row r="71" spans="1:18" s="243" customFormat="1" ht="25.5">
      <c r="A71" s="244"/>
      <c r="B71" s="309" t="s">
        <v>678</v>
      </c>
      <c r="C71" s="251" t="s">
        <v>19</v>
      </c>
      <c r="D71" s="252" t="s">
        <v>679</v>
      </c>
      <c r="E71" s="253" t="s">
        <v>32</v>
      </c>
      <c r="F71" s="282">
        <v>1</v>
      </c>
      <c r="G71" s="307">
        <v>870</v>
      </c>
      <c r="H71" s="266">
        <f t="shared" si="2"/>
        <v>870</v>
      </c>
      <c r="I71" s="310"/>
    </row>
    <row r="72" spans="1:18" s="243" customFormat="1">
      <c r="A72" s="244"/>
      <c r="B72" s="309" t="s">
        <v>680</v>
      </c>
      <c r="C72" s="251" t="s">
        <v>19</v>
      </c>
      <c r="D72" s="252" t="s">
        <v>681</v>
      </c>
      <c r="E72" s="253" t="s">
        <v>113</v>
      </c>
      <c r="F72" s="281">
        <v>5.5</v>
      </c>
      <c r="G72" s="307">
        <v>16.05</v>
      </c>
      <c r="H72" s="266">
        <f t="shared" si="2"/>
        <v>88.275000000000006</v>
      </c>
      <c r="I72" s="310"/>
    </row>
    <row r="73" spans="1:18" s="243" customFormat="1" ht="51">
      <c r="A73" s="244"/>
      <c r="B73" s="309" t="s">
        <v>682</v>
      </c>
      <c r="C73" s="251" t="s">
        <v>19</v>
      </c>
      <c r="D73" s="252" t="s">
        <v>683</v>
      </c>
      <c r="E73" s="253" t="s">
        <v>32</v>
      </c>
      <c r="F73" s="282">
        <v>1</v>
      </c>
      <c r="G73" s="307">
        <v>14.37</v>
      </c>
      <c r="H73" s="266">
        <f t="shared" si="2"/>
        <v>14.37</v>
      </c>
      <c r="I73" s="310"/>
    </row>
    <row r="74" spans="1:18" s="243" customFormat="1" ht="25.5">
      <c r="A74" s="244"/>
      <c r="B74" s="309" t="s">
        <v>684</v>
      </c>
      <c r="C74" s="251" t="s">
        <v>19</v>
      </c>
      <c r="D74" s="252" t="s">
        <v>685</v>
      </c>
      <c r="E74" s="253" t="s">
        <v>113</v>
      </c>
      <c r="F74" s="282">
        <v>0.8</v>
      </c>
      <c r="G74" s="307">
        <v>1.33</v>
      </c>
      <c r="H74" s="266">
        <f t="shared" si="2"/>
        <v>1.0640000000000001</v>
      </c>
      <c r="I74" s="310"/>
    </row>
    <row r="75" spans="1:18" s="243" customFormat="1" ht="25.5">
      <c r="A75" s="244"/>
      <c r="B75" s="309" t="s">
        <v>686</v>
      </c>
      <c r="C75" s="251" t="s">
        <v>19</v>
      </c>
      <c r="D75" s="252" t="s">
        <v>687</v>
      </c>
      <c r="E75" s="253" t="s">
        <v>32</v>
      </c>
      <c r="F75" s="282">
        <v>3</v>
      </c>
      <c r="G75" s="307">
        <v>6.53</v>
      </c>
      <c r="H75" s="266">
        <f t="shared" si="2"/>
        <v>19.59</v>
      </c>
      <c r="I75" s="310"/>
    </row>
    <row r="76" spans="1:18" s="243" customFormat="1" ht="25.5">
      <c r="A76" s="244"/>
      <c r="B76" s="309" t="s">
        <v>688</v>
      </c>
      <c r="C76" s="251" t="s">
        <v>19</v>
      </c>
      <c r="D76" s="252" t="s">
        <v>689</v>
      </c>
      <c r="E76" s="253" t="s">
        <v>32</v>
      </c>
      <c r="F76" s="282">
        <v>3</v>
      </c>
      <c r="G76" s="307">
        <v>4.55</v>
      </c>
      <c r="H76" s="266">
        <f t="shared" si="2"/>
        <v>13.649999999999999</v>
      </c>
      <c r="I76" s="310"/>
    </row>
    <row r="77" spans="1:18" s="243" customFormat="1" ht="25.5">
      <c r="A77" s="244"/>
      <c r="B77" s="309" t="s">
        <v>690</v>
      </c>
      <c r="C77" s="251" t="s">
        <v>19</v>
      </c>
      <c r="D77" s="252" t="s">
        <v>691</v>
      </c>
      <c r="E77" s="253" t="s">
        <v>32</v>
      </c>
      <c r="F77" s="282">
        <v>3</v>
      </c>
      <c r="G77" s="307">
        <v>12.84</v>
      </c>
      <c r="H77" s="266">
        <f t="shared" si="2"/>
        <v>38.519999999999996</v>
      </c>
      <c r="I77" s="310"/>
    </row>
    <row r="78" spans="1:18" s="243" customFormat="1" ht="25.5">
      <c r="A78" s="244"/>
      <c r="B78" s="309" t="s">
        <v>692</v>
      </c>
      <c r="C78" s="251" t="s">
        <v>19</v>
      </c>
      <c r="D78" s="252" t="s">
        <v>693</v>
      </c>
      <c r="E78" s="253" t="s">
        <v>32</v>
      </c>
      <c r="F78" s="282">
        <v>1</v>
      </c>
      <c r="G78" s="307">
        <v>9.15</v>
      </c>
      <c r="H78" s="266">
        <f t="shared" si="2"/>
        <v>9.15</v>
      </c>
      <c r="I78" s="310"/>
    </row>
    <row r="79" spans="1:18" s="243" customFormat="1" ht="38.25">
      <c r="A79" s="244"/>
      <c r="B79" s="309" t="s">
        <v>694</v>
      </c>
      <c r="C79" s="251" t="s">
        <v>19</v>
      </c>
      <c r="D79" s="252" t="s">
        <v>695</v>
      </c>
      <c r="E79" s="253" t="s">
        <v>32</v>
      </c>
      <c r="F79" s="282">
        <v>1</v>
      </c>
      <c r="G79" s="307">
        <v>26</v>
      </c>
      <c r="H79" s="266">
        <f t="shared" si="2"/>
        <v>26</v>
      </c>
      <c r="I79" s="310"/>
    </row>
    <row r="80" spans="1:18" s="243" customFormat="1" ht="25.5">
      <c r="A80" s="244"/>
      <c r="B80" s="309" t="s">
        <v>696</v>
      </c>
      <c r="C80" s="251" t="s">
        <v>19</v>
      </c>
      <c r="D80" s="252" t="s">
        <v>697</v>
      </c>
      <c r="E80" s="253" t="s">
        <v>32</v>
      </c>
      <c r="F80" s="282">
        <v>1</v>
      </c>
      <c r="G80" s="307">
        <v>6.01</v>
      </c>
      <c r="H80" s="266">
        <f t="shared" si="2"/>
        <v>6.01</v>
      </c>
      <c r="I80" s="310"/>
    </row>
    <row r="81" spans="1:9" s="243" customFormat="1" ht="38.25">
      <c r="A81" s="244"/>
      <c r="B81" s="309" t="s">
        <v>698</v>
      </c>
      <c r="C81" s="251" t="s">
        <v>19</v>
      </c>
      <c r="D81" s="252" t="s">
        <v>699</v>
      </c>
      <c r="E81" s="253" t="s">
        <v>32</v>
      </c>
      <c r="F81" s="282">
        <v>2</v>
      </c>
      <c r="G81" s="307">
        <v>9.42</v>
      </c>
      <c r="H81" s="266">
        <f t="shared" si="2"/>
        <v>18.84</v>
      </c>
      <c r="I81" s="310"/>
    </row>
    <row r="82" spans="1:9" s="243" customFormat="1" ht="38.25">
      <c r="A82" s="244"/>
      <c r="B82" s="309" t="s">
        <v>700</v>
      </c>
      <c r="C82" s="251" t="s">
        <v>19</v>
      </c>
      <c r="D82" s="252" t="s">
        <v>701</v>
      </c>
      <c r="E82" s="253" t="s">
        <v>32</v>
      </c>
      <c r="F82" s="282">
        <v>2</v>
      </c>
      <c r="G82" s="307">
        <v>1.1100000000000001</v>
      </c>
      <c r="H82" s="266">
        <f t="shared" si="2"/>
        <v>2.2200000000000002</v>
      </c>
      <c r="I82" s="310"/>
    </row>
    <row r="83" spans="1:9" s="243" customFormat="1" ht="25.5">
      <c r="A83" s="244"/>
      <c r="B83" s="309" t="s">
        <v>702</v>
      </c>
      <c r="C83" s="251" t="s">
        <v>19</v>
      </c>
      <c r="D83" s="252" t="s">
        <v>703</v>
      </c>
      <c r="E83" s="253" t="s">
        <v>32</v>
      </c>
      <c r="F83" s="282">
        <v>1</v>
      </c>
      <c r="G83" s="307">
        <v>122.86</v>
      </c>
      <c r="H83" s="266">
        <f t="shared" si="2"/>
        <v>122.86</v>
      </c>
      <c r="I83" s="310"/>
    </row>
    <row r="84" spans="1:9" s="243" customFormat="1" ht="25.5">
      <c r="A84" s="244"/>
      <c r="B84" s="309" t="s">
        <v>704</v>
      </c>
      <c r="C84" s="251" t="s">
        <v>19</v>
      </c>
      <c r="D84" s="252" t="s">
        <v>705</v>
      </c>
      <c r="E84" s="253" t="s">
        <v>32</v>
      </c>
      <c r="F84" s="282">
        <v>1</v>
      </c>
      <c r="G84" s="307">
        <v>317.14</v>
      </c>
      <c r="H84" s="266">
        <f t="shared" si="2"/>
        <v>317.14</v>
      </c>
      <c r="I84" s="310"/>
    </row>
    <row r="85" spans="1:9" s="243" customFormat="1" ht="25.5">
      <c r="A85" s="244"/>
      <c r="B85" s="316" t="s">
        <v>706</v>
      </c>
      <c r="C85" s="257" t="s">
        <v>19</v>
      </c>
      <c r="D85" s="258" t="s">
        <v>707</v>
      </c>
      <c r="E85" s="259" t="s">
        <v>32</v>
      </c>
      <c r="F85" s="317">
        <v>3</v>
      </c>
      <c r="G85" s="318">
        <v>52.23</v>
      </c>
      <c r="H85" s="266">
        <f t="shared" si="2"/>
        <v>156.69</v>
      </c>
      <c r="I85" s="310"/>
    </row>
    <row r="86" spans="1:9" s="243" customFormat="1">
      <c r="A86" s="244"/>
      <c r="B86" s="392" t="s">
        <v>606</v>
      </c>
      <c r="C86" s="392"/>
      <c r="D86" s="392"/>
      <c r="E86" s="392"/>
      <c r="F86" s="392"/>
      <c r="G86" s="392"/>
      <c r="H86" s="319">
        <f>SUM(H61:H85)</f>
        <v>4821.3009199999997</v>
      </c>
    </row>
    <row r="87" spans="1:9" s="243" customFormat="1">
      <c r="A87" s="244"/>
      <c r="B87" s="209"/>
      <c r="C87" s="209"/>
      <c r="D87" s="209"/>
      <c r="E87" s="209"/>
      <c r="F87" s="209"/>
      <c r="G87" s="209"/>
      <c r="H87" s="209"/>
    </row>
    <row r="88" spans="1:9" s="243" customFormat="1" ht="38.25">
      <c r="A88" s="244"/>
      <c r="B88" s="246" t="s">
        <v>25</v>
      </c>
      <c r="C88" s="246" t="s">
        <v>252</v>
      </c>
      <c r="D88" s="286" t="s">
        <v>708</v>
      </c>
      <c r="E88" s="287" t="s">
        <v>647</v>
      </c>
      <c r="F88" s="246"/>
      <c r="G88" s="246"/>
      <c r="H88" s="246"/>
    </row>
    <row r="89" spans="1:9" s="243" customFormat="1" ht="25.5">
      <c r="A89" s="244"/>
      <c r="B89" s="249" t="s">
        <v>7</v>
      </c>
      <c r="C89" s="249" t="s">
        <v>616</v>
      </c>
      <c r="D89" s="288" t="s">
        <v>9</v>
      </c>
      <c r="E89" s="289" t="s">
        <v>617</v>
      </c>
      <c r="F89" s="290" t="s">
        <v>618</v>
      </c>
      <c r="G89" s="291" t="s">
        <v>648</v>
      </c>
      <c r="H89" s="291" t="s">
        <v>606</v>
      </c>
    </row>
    <row r="90" spans="1:9" s="243" customFormat="1">
      <c r="A90" s="244"/>
      <c r="B90" s="306" t="s">
        <v>661</v>
      </c>
      <c r="C90" s="251" t="s">
        <v>19</v>
      </c>
      <c r="D90" s="276" t="s">
        <v>662</v>
      </c>
      <c r="E90" s="278" t="s">
        <v>21</v>
      </c>
      <c r="F90" s="281">
        <v>0.8</v>
      </c>
      <c r="G90" s="307">
        <v>20.71</v>
      </c>
      <c r="H90" s="266">
        <f>F90*G90</f>
        <v>16.568000000000001</v>
      </c>
    </row>
    <row r="91" spans="1:9" s="243" customFormat="1">
      <c r="A91" s="244"/>
      <c r="B91" s="306" t="s">
        <v>663</v>
      </c>
      <c r="C91" s="251" t="s">
        <v>19</v>
      </c>
      <c r="D91" s="308" t="s">
        <v>664</v>
      </c>
      <c r="E91" s="278" t="s">
        <v>21</v>
      </c>
      <c r="F91" s="281">
        <v>0.8</v>
      </c>
      <c r="G91" s="307">
        <v>17.23</v>
      </c>
      <c r="H91" s="266">
        <f>F91*G91</f>
        <v>13.784000000000001</v>
      </c>
    </row>
    <row r="92" spans="1:9" s="243" customFormat="1" ht="38.25">
      <c r="A92" s="244"/>
      <c r="B92" s="320" t="s">
        <v>709</v>
      </c>
      <c r="C92" s="251" t="s">
        <v>19</v>
      </c>
      <c r="D92" s="276" t="s">
        <v>710</v>
      </c>
      <c r="E92" s="321" t="s">
        <v>32</v>
      </c>
      <c r="F92" s="322">
        <v>1</v>
      </c>
      <c r="G92" s="323">
        <v>42.83</v>
      </c>
      <c r="H92" s="323">
        <f>(F92*G92)</f>
        <v>42.83</v>
      </c>
    </row>
    <row r="93" spans="1:9" s="243" customFormat="1" ht="38.25">
      <c r="A93" s="244"/>
      <c r="B93" s="320" t="s">
        <v>711</v>
      </c>
      <c r="C93" s="251" t="s">
        <v>19</v>
      </c>
      <c r="D93" s="276" t="s">
        <v>712</v>
      </c>
      <c r="E93" s="321" t="s">
        <v>32</v>
      </c>
      <c r="F93" s="322">
        <v>4</v>
      </c>
      <c r="G93" s="323">
        <v>0.26</v>
      </c>
      <c r="H93" s="323">
        <f>(F93*G93)</f>
        <v>1.04</v>
      </c>
    </row>
    <row r="94" spans="1:9" s="243" customFormat="1">
      <c r="A94" s="244"/>
      <c r="B94" s="392" t="s">
        <v>606</v>
      </c>
      <c r="C94" s="392"/>
      <c r="D94" s="392"/>
      <c r="E94" s="392"/>
      <c r="F94" s="392"/>
      <c r="G94" s="392"/>
      <c r="H94" s="319">
        <f>SUM(H90:H93)</f>
        <v>74.222000000000008</v>
      </c>
    </row>
    <row r="95" spans="1:9" s="243" customFormat="1">
      <c r="A95" s="244"/>
      <c r="B95" s="303"/>
      <c r="C95" s="209"/>
      <c r="D95" s="91"/>
      <c r="E95" s="303"/>
      <c r="F95" s="303"/>
      <c r="G95" s="304"/>
      <c r="H95" s="305"/>
    </row>
    <row r="96" spans="1:9" s="243" customFormat="1" ht="38.25">
      <c r="A96" s="244"/>
      <c r="B96" s="246" t="s">
        <v>25</v>
      </c>
      <c r="C96" s="246" t="s">
        <v>269</v>
      </c>
      <c r="D96" s="286" t="s">
        <v>713</v>
      </c>
      <c r="E96" s="287" t="s">
        <v>647</v>
      </c>
      <c r="F96" s="246"/>
      <c r="G96" s="246"/>
      <c r="H96" s="246"/>
    </row>
    <row r="97" spans="1:8" s="243" customFormat="1" ht="25.5">
      <c r="A97" s="244"/>
      <c r="B97" s="249" t="s">
        <v>7</v>
      </c>
      <c r="C97" s="249" t="s">
        <v>616</v>
      </c>
      <c r="D97" s="288" t="s">
        <v>9</v>
      </c>
      <c r="E97" s="289" t="s">
        <v>617</v>
      </c>
      <c r="F97" s="290" t="s">
        <v>618</v>
      </c>
      <c r="G97" s="291" t="s">
        <v>648</v>
      </c>
      <c r="H97" s="291" t="s">
        <v>606</v>
      </c>
    </row>
    <row r="98" spans="1:8" s="243" customFormat="1">
      <c r="A98" s="244"/>
      <c r="B98" s="306" t="s">
        <v>661</v>
      </c>
      <c r="C98" s="251" t="s">
        <v>19</v>
      </c>
      <c r="D98" s="276" t="s">
        <v>662</v>
      </c>
      <c r="E98" s="278" t="s">
        <v>21</v>
      </c>
      <c r="F98" s="281">
        <v>0.6</v>
      </c>
      <c r="G98" s="307">
        <v>20.71</v>
      </c>
      <c r="H98" s="266">
        <f>F98*G98</f>
        <v>12.426</v>
      </c>
    </row>
    <row r="99" spans="1:8" s="243" customFormat="1">
      <c r="A99" s="244"/>
      <c r="B99" s="306" t="s">
        <v>663</v>
      </c>
      <c r="C99" s="251" t="s">
        <v>19</v>
      </c>
      <c r="D99" s="308" t="s">
        <v>664</v>
      </c>
      <c r="E99" s="278" t="s">
        <v>21</v>
      </c>
      <c r="F99" s="281">
        <v>0.3</v>
      </c>
      <c r="G99" s="307">
        <v>17.23</v>
      </c>
      <c r="H99" s="266">
        <f>F99*G99</f>
        <v>5.1689999999999996</v>
      </c>
    </row>
    <row r="100" spans="1:8" s="243" customFormat="1" ht="38.25">
      <c r="B100" s="306" t="s">
        <v>714</v>
      </c>
      <c r="C100" s="251" t="s">
        <v>19</v>
      </c>
      <c r="D100" s="324" t="s">
        <v>715</v>
      </c>
      <c r="E100" s="278" t="s">
        <v>32</v>
      </c>
      <c r="F100" s="282">
        <v>1</v>
      </c>
      <c r="G100" s="307">
        <v>51</v>
      </c>
      <c r="H100" s="266">
        <f>(F100*G100)</f>
        <v>51</v>
      </c>
    </row>
    <row r="101" spans="1:8" s="243" customFormat="1">
      <c r="B101" s="306" t="s">
        <v>716</v>
      </c>
      <c r="C101" s="251" t="s">
        <v>19</v>
      </c>
      <c r="D101" s="324" t="s">
        <v>717</v>
      </c>
      <c r="E101" s="278" t="s">
        <v>32</v>
      </c>
      <c r="F101" s="282">
        <v>2</v>
      </c>
      <c r="G101" s="307">
        <v>13.88</v>
      </c>
      <c r="H101" s="266">
        <f>(F101*G101)</f>
        <v>27.76</v>
      </c>
    </row>
    <row r="102" spans="1:8" s="243" customFormat="1" ht="25.5">
      <c r="B102" s="306">
        <v>21127</v>
      </c>
      <c r="C102" s="251" t="s">
        <v>19</v>
      </c>
      <c r="D102" s="324" t="s">
        <v>718</v>
      </c>
      <c r="E102" s="278" t="s">
        <v>32</v>
      </c>
      <c r="F102" s="281">
        <v>4.2000000000000003E-2</v>
      </c>
      <c r="G102" s="307">
        <v>3.7</v>
      </c>
      <c r="H102" s="266">
        <f>(F102*G102)</f>
        <v>0.15540000000000001</v>
      </c>
    </row>
    <row r="103" spans="1:8" s="243" customFormat="1">
      <c r="B103" s="392" t="s">
        <v>606</v>
      </c>
      <c r="C103" s="392"/>
      <c r="D103" s="392"/>
      <c r="E103" s="392"/>
      <c r="F103" s="392"/>
      <c r="G103" s="392"/>
      <c r="H103" s="319">
        <f>SUM(H98:H102)</f>
        <v>96.510400000000004</v>
      </c>
    </row>
    <row r="104" spans="1:8" s="243" customFormat="1"/>
    <row r="105" spans="1:8" s="243" customFormat="1" ht="25.5">
      <c r="B105" s="246" t="s">
        <v>25</v>
      </c>
      <c r="C105" s="246" t="s">
        <v>276</v>
      </c>
      <c r="D105" s="286" t="s">
        <v>719</v>
      </c>
      <c r="E105" s="287" t="s">
        <v>647</v>
      </c>
      <c r="F105" s="246"/>
      <c r="G105" s="246"/>
      <c r="H105" s="246"/>
    </row>
    <row r="106" spans="1:8" s="243" customFormat="1" ht="25.5">
      <c r="B106" s="249" t="s">
        <v>7</v>
      </c>
      <c r="C106" s="249" t="s">
        <v>616</v>
      </c>
      <c r="D106" s="288" t="s">
        <v>9</v>
      </c>
      <c r="E106" s="289" t="s">
        <v>617</v>
      </c>
      <c r="F106" s="290" t="s">
        <v>618</v>
      </c>
      <c r="G106" s="291" t="s">
        <v>648</v>
      </c>
      <c r="H106" s="291" t="s">
        <v>606</v>
      </c>
    </row>
    <row r="107" spans="1:8" s="243" customFormat="1">
      <c r="B107" s="306" t="s">
        <v>661</v>
      </c>
      <c r="C107" s="251" t="s">
        <v>19</v>
      </c>
      <c r="D107" s="276" t="s">
        <v>662</v>
      </c>
      <c r="E107" s="278" t="s">
        <v>21</v>
      </c>
      <c r="F107" s="282">
        <v>0.6</v>
      </c>
      <c r="G107" s="307">
        <v>20.71</v>
      </c>
      <c r="H107" s="266">
        <f>F107*G107</f>
        <v>12.426</v>
      </c>
    </row>
    <row r="108" spans="1:8" s="243" customFormat="1">
      <c r="B108" s="306" t="s">
        <v>663</v>
      </c>
      <c r="C108" s="251" t="s">
        <v>19</v>
      </c>
      <c r="D108" s="308" t="s">
        <v>664</v>
      </c>
      <c r="E108" s="278" t="s">
        <v>21</v>
      </c>
      <c r="F108" s="282">
        <v>0.9</v>
      </c>
      <c r="G108" s="307">
        <v>17.23</v>
      </c>
      <c r="H108" s="266">
        <f>F108*G108</f>
        <v>15.507000000000001</v>
      </c>
    </row>
    <row r="109" spans="1:8" s="243" customFormat="1" ht="25.5">
      <c r="B109" s="306" t="s">
        <v>720</v>
      </c>
      <c r="C109" s="251" t="s">
        <v>19</v>
      </c>
      <c r="D109" s="324" t="s">
        <v>721</v>
      </c>
      <c r="E109" s="278" t="s">
        <v>32</v>
      </c>
      <c r="F109" s="282">
        <v>2</v>
      </c>
      <c r="G109" s="307">
        <v>42.47</v>
      </c>
      <c r="H109" s="266">
        <f>(F109*G109)</f>
        <v>84.94</v>
      </c>
    </row>
    <row r="110" spans="1:8" s="243" customFormat="1" ht="25.5">
      <c r="B110" s="306">
        <v>21127</v>
      </c>
      <c r="C110" s="251" t="s">
        <v>19</v>
      </c>
      <c r="D110" s="324" t="s">
        <v>718</v>
      </c>
      <c r="E110" s="278" t="s">
        <v>32</v>
      </c>
      <c r="F110" s="281">
        <v>4.2000000000000003E-2</v>
      </c>
      <c r="G110" s="307">
        <v>3.7</v>
      </c>
      <c r="H110" s="266">
        <f>(F110*G110)</f>
        <v>0.15540000000000001</v>
      </c>
    </row>
    <row r="111" spans="1:8" s="243" customFormat="1" ht="38.25">
      <c r="B111" s="306" t="s">
        <v>711</v>
      </c>
      <c r="C111" s="251" t="s">
        <v>19</v>
      </c>
      <c r="D111" s="276" t="s">
        <v>712</v>
      </c>
      <c r="E111" s="321" t="s">
        <v>32</v>
      </c>
      <c r="F111" s="322">
        <v>2</v>
      </c>
      <c r="G111" s="323">
        <v>0.26</v>
      </c>
      <c r="H111" s="323">
        <f>F111*G111</f>
        <v>0.52</v>
      </c>
    </row>
    <row r="112" spans="1:8" s="243" customFormat="1">
      <c r="B112" s="392" t="s">
        <v>606</v>
      </c>
      <c r="C112" s="392"/>
      <c r="D112" s="392"/>
      <c r="E112" s="392"/>
      <c r="F112" s="392"/>
      <c r="G112" s="392"/>
      <c r="H112" s="319">
        <f>SUM(H107:H111)</f>
        <v>113.54839999999999</v>
      </c>
    </row>
    <row r="113" spans="2:8" s="243" customFormat="1"/>
    <row r="114" spans="2:8" s="243" customFormat="1" ht="25.5">
      <c r="B114" s="246" t="s">
        <v>25</v>
      </c>
      <c r="C114" s="246" t="s">
        <v>279</v>
      </c>
      <c r="D114" s="286" t="s">
        <v>722</v>
      </c>
      <c r="E114" s="287" t="s">
        <v>647</v>
      </c>
      <c r="F114" s="246"/>
      <c r="G114" s="246"/>
      <c r="H114" s="246"/>
    </row>
    <row r="115" spans="2:8" s="243" customFormat="1" ht="25.5">
      <c r="B115" s="249" t="s">
        <v>7</v>
      </c>
      <c r="C115" s="249" t="s">
        <v>616</v>
      </c>
      <c r="D115" s="288" t="s">
        <v>9</v>
      </c>
      <c r="E115" s="289" t="s">
        <v>617</v>
      </c>
      <c r="F115" s="290" t="s">
        <v>618</v>
      </c>
      <c r="G115" s="291" t="s">
        <v>648</v>
      </c>
      <c r="H115" s="291" t="s">
        <v>606</v>
      </c>
    </row>
    <row r="116" spans="2:8" s="243" customFormat="1">
      <c r="B116" s="306" t="s">
        <v>661</v>
      </c>
      <c r="C116" s="251" t="s">
        <v>19</v>
      </c>
      <c r="D116" s="276" t="s">
        <v>662</v>
      </c>
      <c r="E116" s="278" t="s">
        <v>21</v>
      </c>
      <c r="F116" s="282">
        <v>0.6</v>
      </c>
      <c r="G116" s="281">
        <v>20.71</v>
      </c>
      <c r="H116" s="325">
        <f>F116*G116</f>
        <v>12.426</v>
      </c>
    </row>
    <row r="117" spans="2:8" s="243" customFormat="1">
      <c r="B117" s="306" t="s">
        <v>663</v>
      </c>
      <c r="C117" s="251" t="s">
        <v>19</v>
      </c>
      <c r="D117" s="308" t="s">
        <v>664</v>
      </c>
      <c r="E117" s="278" t="s">
        <v>21</v>
      </c>
      <c r="F117" s="282">
        <v>0.9</v>
      </c>
      <c r="G117" s="282">
        <v>17.23</v>
      </c>
      <c r="H117" s="325">
        <f>F117*G117</f>
        <v>15.507000000000001</v>
      </c>
    </row>
    <row r="118" spans="2:8" s="243" customFormat="1" ht="25.5">
      <c r="B118" s="306" t="s">
        <v>720</v>
      </c>
      <c r="C118" s="251" t="s">
        <v>19</v>
      </c>
      <c r="D118" s="324" t="s">
        <v>721</v>
      </c>
      <c r="E118" s="278" t="s">
        <v>32</v>
      </c>
      <c r="F118" s="282">
        <v>1</v>
      </c>
      <c r="G118" s="282">
        <v>42.47</v>
      </c>
      <c r="H118" s="325">
        <f>(F118*G118)</f>
        <v>42.47</v>
      </c>
    </row>
    <row r="119" spans="2:8" s="243" customFormat="1" ht="25.5">
      <c r="B119" s="306">
        <v>21127</v>
      </c>
      <c r="C119" s="251" t="s">
        <v>19</v>
      </c>
      <c r="D119" s="324" t="s">
        <v>718</v>
      </c>
      <c r="E119" s="278" t="s">
        <v>32</v>
      </c>
      <c r="F119" s="281">
        <v>4.2000000000000003E-2</v>
      </c>
      <c r="G119" s="282">
        <v>3.7</v>
      </c>
      <c r="H119" s="325">
        <f>(F119*G119)</f>
        <v>0.15540000000000001</v>
      </c>
    </row>
    <row r="120" spans="2:8" s="243" customFormat="1" ht="38.25">
      <c r="B120" s="306" t="s">
        <v>711</v>
      </c>
      <c r="C120" s="251" t="s">
        <v>19</v>
      </c>
      <c r="D120" s="276" t="s">
        <v>712</v>
      </c>
      <c r="E120" s="321" t="s">
        <v>32</v>
      </c>
      <c r="F120" s="322">
        <v>2</v>
      </c>
      <c r="G120" s="276">
        <v>0.26</v>
      </c>
      <c r="H120" s="276">
        <f>F120*G120</f>
        <v>0.52</v>
      </c>
    </row>
    <row r="121" spans="2:8" s="243" customFormat="1">
      <c r="B121" s="392" t="s">
        <v>606</v>
      </c>
      <c r="C121" s="392"/>
      <c r="D121" s="392"/>
      <c r="E121" s="392"/>
      <c r="F121" s="392"/>
      <c r="G121" s="392"/>
      <c r="H121" s="319">
        <f>SUM(H116:H120)</f>
        <v>71.078399999999988</v>
      </c>
    </row>
    <row r="122" spans="2:8" s="243" customFormat="1"/>
    <row r="123" spans="2:8" s="243" customFormat="1" ht="25.5">
      <c r="B123" s="246" t="s">
        <v>25</v>
      </c>
      <c r="C123" s="246" t="s">
        <v>284</v>
      </c>
      <c r="D123" s="286" t="s">
        <v>285</v>
      </c>
      <c r="E123" s="287" t="s">
        <v>647</v>
      </c>
      <c r="F123" s="246"/>
      <c r="G123" s="246"/>
      <c r="H123" s="246"/>
    </row>
    <row r="124" spans="2:8" s="243" customFormat="1" ht="25.5">
      <c r="B124" s="326" t="s">
        <v>7</v>
      </c>
      <c r="C124" s="326" t="s">
        <v>616</v>
      </c>
      <c r="D124" s="288" t="s">
        <v>9</v>
      </c>
      <c r="E124" s="289" t="s">
        <v>617</v>
      </c>
      <c r="F124" s="290" t="s">
        <v>618</v>
      </c>
      <c r="G124" s="291" t="s">
        <v>648</v>
      </c>
      <c r="H124" s="291" t="s">
        <v>606</v>
      </c>
    </row>
    <row r="125" spans="2:8" s="243" customFormat="1">
      <c r="B125" s="327" t="s">
        <v>661</v>
      </c>
      <c r="C125" s="251" t="s">
        <v>19</v>
      </c>
      <c r="D125" s="328" t="s">
        <v>662</v>
      </c>
      <c r="E125" s="321" t="s">
        <v>21</v>
      </c>
      <c r="F125" s="322">
        <v>0.56769999999999998</v>
      </c>
      <c r="G125" s="307">
        <v>20.71</v>
      </c>
      <c r="H125" s="323">
        <f>F125*G125</f>
        <v>11.757066999999999</v>
      </c>
    </row>
    <row r="126" spans="2:8" s="243" customFormat="1" ht="25.5">
      <c r="B126" s="327" t="s">
        <v>663</v>
      </c>
      <c r="C126" s="251" t="s">
        <v>19</v>
      </c>
      <c r="D126" s="328" t="s">
        <v>664</v>
      </c>
      <c r="E126" s="321" t="s">
        <v>21</v>
      </c>
      <c r="F126" s="322">
        <v>0.56769999999999998</v>
      </c>
      <c r="G126" s="307">
        <v>17.23</v>
      </c>
      <c r="H126" s="323">
        <f>F126*G126</f>
        <v>9.7814709999999998</v>
      </c>
    </row>
    <row r="127" spans="2:8" s="243" customFormat="1">
      <c r="B127" s="327">
        <v>34714</v>
      </c>
      <c r="C127" s="251" t="s">
        <v>19</v>
      </c>
      <c r="D127" s="328" t="s">
        <v>723</v>
      </c>
      <c r="E127" s="321" t="s">
        <v>32</v>
      </c>
      <c r="F127" s="322">
        <v>1</v>
      </c>
      <c r="G127" s="323">
        <v>84.13</v>
      </c>
      <c r="H127" s="323">
        <f>F127*G127</f>
        <v>84.13</v>
      </c>
    </row>
    <row r="128" spans="2:8" s="243" customFormat="1" ht="38.25">
      <c r="B128" s="327" t="s">
        <v>724</v>
      </c>
      <c r="C128" s="251" t="s">
        <v>19</v>
      </c>
      <c r="D128" s="328" t="s">
        <v>725</v>
      </c>
      <c r="E128" s="321" t="s">
        <v>32</v>
      </c>
      <c r="F128" s="322">
        <v>3</v>
      </c>
      <c r="G128" s="323">
        <v>2.48</v>
      </c>
      <c r="H128" s="323">
        <f>F128*G128</f>
        <v>7.4399999999999995</v>
      </c>
    </row>
    <row r="129" spans="1:8" s="243" customFormat="1">
      <c r="A129" s="244"/>
      <c r="B129" s="392" t="s">
        <v>606</v>
      </c>
      <c r="C129" s="392"/>
      <c r="D129" s="392"/>
      <c r="E129" s="392"/>
      <c r="F129" s="392"/>
      <c r="G129" s="392"/>
      <c r="H129" s="319">
        <f>SUM(H125:H128)</f>
        <v>113.108538</v>
      </c>
    </row>
    <row r="130" spans="1:8" s="243" customFormat="1">
      <c r="A130" s="244"/>
      <c r="B130" s="329"/>
      <c r="C130" s="329"/>
      <c r="D130" s="329"/>
      <c r="E130" s="329"/>
      <c r="F130" s="329"/>
      <c r="G130" s="329"/>
      <c r="H130" s="330"/>
    </row>
    <row r="131" spans="1:8" s="243" customFormat="1" ht="38.25">
      <c r="A131" s="244"/>
      <c r="B131" s="246" t="s">
        <v>25</v>
      </c>
      <c r="C131" s="246" t="s">
        <v>303</v>
      </c>
      <c r="D131" s="286" t="s">
        <v>726</v>
      </c>
      <c r="E131" s="287" t="s">
        <v>647</v>
      </c>
      <c r="F131" s="246"/>
      <c r="G131" s="246"/>
      <c r="H131" s="246"/>
    </row>
    <row r="132" spans="1:8" s="243" customFormat="1" ht="25.5">
      <c r="A132" s="244"/>
      <c r="B132" s="326" t="s">
        <v>7</v>
      </c>
      <c r="C132" s="326" t="s">
        <v>616</v>
      </c>
      <c r="D132" s="288" t="s">
        <v>9</v>
      </c>
      <c r="E132" s="289" t="s">
        <v>617</v>
      </c>
      <c r="F132" s="290" t="s">
        <v>618</v>
      </c>
      <c r="G132" s="291" t="s">
        <v>648</v>
      </c>
      <c r="H132" s="291" t="s">
        <v>606</v>
      </c>
    </row>
    <row r="133" spans="1:8" s="243" customFormat="1">
      <c r="A133" s="244"/>
      <c r="B133" s="327" t="s">
        <v>661</v>
      </c>
      <c r="C133" s="251" t="s">
        <v>19</v>
      </c>
      <c r="D133" s="328" t="s">
        <v>662</v>
      </c>
      <c r="E133" s="321" t="s">
        <v>21</v>
      </c>
      <c r="F133" s="322">
        <v>0.56769999999999998</v>
      </c>
      <c r="G133" s="307">
        <v>20.71</v>
      </c>
      <c r="H133" s="323">
        <f>F133*G133</f>
        <v>11.757066999999999</v>
      </c>
    </row>
    <row r="134" spans="1:8" s="243" customFormat="1" ht="25.5">
      <c r="A134" s="244"/>
      <c r="B134" s="327" t="s">
        <v>663</v>
      </c>
      <c r="C134" s="251" t="s">
        <v>19</v>
      </c>
      <c r="D134" s="328" t="s">
        <v>664</v>
      </c>
      <c r="E134" s="321" t="s">
        <v>21</v>
      </c>
      <c r="F134" s="322">
        <v>0.56769999999999998</v>
      </c>
      <c r="G134" s="307">
        <v>17.23</v>
      </c>
      <c r="H134" s="323">
        <f>F134*G134</f>
        <v>9.7814709999999998</v>
      </c>
    </row>
    <row r="135" spans="1:8" s="243" customFormat="1" ht="25.5">
      <c r="A135" s="244"/>
      <c r="B135" s="327" t="s">
        <v>727</v>
      </c>
      <c r="C135" s="251" t="s">
        <v>19</v>
      </c>
      <c r="D135" s="328" t="s">
        <v>728</v>
      </c>
      <c r="E135" s="321" t="s">
        <v>32</v>
      </c>
      <c r="F135" s="322">
        <v>1</v>
      </c>
      <c r="G135" s="323">
        <v>157.18</v>
      </c>
      <c r="H135" s="323">
        <f>F135*G135</f>
        <v>157.18</v>
      </c>
    </row>
    <row r="136" spans="1:8" s="243" customFormat="1" ht="38.25">
      <c r="A136" s="244"/>
      <c r="B136" s="327" t="s">
        <v>729</v>
      </c>
      <c r="C136" s="251" t="s">
        <v>19</v>
      </c>
      <c r="D136" s="328" t="s">
        <v>730</v>
      </c>
      <c r="E136" s="321" t="s">
        <v>32</v>
      </c>
      <c r="F136" s="322">
        <v>3</v>
      </c>
      <c r="G136" s="323">
        <v>1.39</v>
      </c>
      <c r="H136" s="323">
        <f>F136*G136</f>
        <v>4.17</v>
      </c>
    </row>
    <row r="137" spans="1:8" s="243" customFormat="1">
      <c r="A137" s="244"/>
      <c r="B137" s="392" t="s">
        <v>606</v>
      </c>
      <c r="C137" s="392"/>
      <c r="D137" s="392"/>
      <c r="E137" s="392"/>
      <c r="F137" s="392"/>
      <c r="G137" s="392"/>
      <c r="H137" s="319">
        <f>SUM(H133:H136)</f>
        <v>182.88853799999998</v>
      </c>
    </row>
    <row r="138" spans="1:8" s="243" customFormat="1">
      <c r="A138" s="244"/>
      <c r="B138" s="329"/>
      <c r="C138" s="329"/>
      <c r="D138" s="329"/>
      <c r="E138" s="329"/>
      <c r="F138" s="329"/>
      <c r="G138" s="329"/>
      <c r="H138" s="330"/>
    </row>
    <row r="139" spans="1:8" s="243" customFormat="1" ht="38.25">
      <c r="A139" s="244"/>
      <c r="B139" s="246" t="s">
        <v>25</v>
      </c>
      <c r="C139" s="246" t="s">
        <v>306</v>
      </c>
      <c r="D139" s="286" t="s">
        <v>307</v>
      </c>
      <c r="E139" s="287" t="s">
        <v>647</v>
      </c>
      <c r="F139" s="246"/>
      <c r="G139" s="246"/>
      <c r="H139" s="246"/>
    </row>
    <row r="140" spans="1:8" s="243" customFormat="1" ht="25.5">
      <c r="A140" s="244"/>
      <c r="B140" s="326" t="s">
        <v>7</v>
      </c>
      <c r="C140" s="326" t="s">
        <v>616</v>
      </c>
      <c r="D140" s="288" t="s">
        <v>9</v>
      </c>
      <c r="E140" s="289" t="s">
        <v>617</v>
      </c>
      <c r="F140" s="290" t="s">
        <v>618</v>
      </c>
      <c r="G140" s="291" t="s">
        <v>648</v>
      </c>
      <c r="H140" s="291" t="s">
        <v>606</v>
      </c>
    </row>
    <row r="141" spans="1:8" s="243" customFormat="1">
      <c r="A141" s="244"/>
      <c r="B141" s="331" t="s">
        <v>661</v>
      </c>
      <c r="C141" s="251" t="s">
        <v>19</v>
      </c>
      <c r="D141" s="328" t="s">
        <v>662</v>
      </c>
      <c r="E141" s="278" t="s">
        <v>21</v>
      </c>
      <c r="F141" s="282">
        <v>0.3</v>
      </c>
      <c r="G141" s="307">
        <v>20.71</v>
      </c>
      <c r="H141" s="266">
        <f>F141*G141</f>
        <v>6.2130000000000001</v>
      </c>
    </row>
    <row r="142" spans="1:8" s="243" customFormat="1" ht="25.5">
      <c r="A142" s="244"/>
      <c r="B142" s="331" t="s">
        <v>663</v>
      </c>
      <c r="C142" s="251" t="s">
        <v>19</v>
      </c>
      <c r="D142" s="328" t="s">
        <v>664</v>
      </c>
      <c r="E142" s="278" t="s">
        <v>21</v>
      </c>
      <c r="F142" s="281">
        <v>0.15</v>
      </c>
      <c r="G142" s="307">
        <v>17.23</v>
      </c>
      <c r="H142" s="266">
        <f>F142*G142</f>
        <v>2.5844999999999998</v>
      </c>
    </row>
    <row r="143" spans="1:8" s="243" customFormat="1" ht="25.5">
      <c r="A143" s="244"/>
      <c r="B143" s="331" t="s">
        <v>731</v>
      </c>
      <c r="C143" s="251" t="s">
        <v>19</v>
      </c>
      <c r="D143" s="332" t="s">
        <v>732</v>
      </c>
      <c r="E143" s="278" t="s">
        <v>32</v>
      </c>
      <c r="F143" s="282">
        <v>1</v>
      </c>
      <c r="G143" s="307">
        <v>108</v>
      </c>
      <c r="H143" s="266">
        <f>(F143*G143)</f>
        <v>108</v>
      </c>
    </row>
    <row r="144" spans="1:8" s="243" customFormat="1">
      <c r="A144" s="244"/>
      <c r="B144" s="392" t="s">
        <v>606</v>
      </c>
      <c r="C144" s="392"/>
      <c r="D144" s="392"/>
      <c r="E144" s="392"/>
      <c r="F144" s="392"/>
      <c r="G144" s="392"/>
      <c r="H144" s="319">
        <f>SUM(H141:H143)</f>
        <v>116.7975</v>
      </c>
    </row>
    <row r="145" spans="1:8" s="243" customFormat="1">
      <c r="A145" s="244"/>
      <c r="B145" s="329"/>
      <c r="C145" s="329"/>
      <c r="D145" s="329"/>
      <c r="E145" s="329"/>
      <c r="F145" s="329"/>
      <c r="G145" s="329"/>
      <c r="H145" s="330"/>
    </row>
    <row r="146" spans="1:8" s="243" customFormat="1" ht="38.25">
      <c r="A146" s="244"/>
      <c r="B146" s="246" t="s">
        <v>25</v>
      </c>
      <c r="C146" s="246" t="s">
        <v>311</v>
      </c>
      <c r="D146" s="286" t="s">
        <v>312</v>
      </c>
      <c r="E146" s="287" t="s">
        <v>647</v>
      </c>
      <c r="F146" s="246"/>
      <c r="G146" s="246"/>
      <c r="H146" s="246"/>
    </row>
    <row r="147" spans="1:8" s="243" customFormat="1" ht="25.5">
      <c r="A147" s="244"/>
      <c r="B147" s="326" t="s">
        <v>7</v>
      </c>
      <c r="C147" s="326" t="s">
        <v>616</v>
      </c>
      <c r="D147" s="288" t="s">
        <v>9</v>
      </c>
      <c r="E147" s="289" t="s">
        <v>617</v>
      </c>
      <c r="F147" s="290" t="s">
        <v>618</v>
      </c>
      <c r="G147" s="291" t="s">
        <v>648</v>
      </c>
      <c r="H147" s="291" t="s">
        <v>606</v>
      </c>
    </row>
    <row r="148" spans="1:8" s="243" customFormat="1">
      <c r="A148" s="244"/>
      <c r="B148" s="333" t="s">
        <v>661</v>
      </c>
      <c r="C148" s="251" t="s">
        <v>19</v>
      </c>
      <c r="D148" s="328" t="s">
        <v>662</v>
      </c>
      <c r="E148" s="321" t="s">
        <v>21</v>
      </c>
      <c r="F148" s="322">
        <v>0.2</v>
      </c>
      <c r="G148" s="307">
        <v>20.71</v>
      </c>
      <c r="H148" s="323">
        <f>F148*G148</f>
        <v>4.1420000000000003</v>
      </c>
    </row>
    <row r="149" spans="1:8" s="243" customFormat="1" ht="25.5">
      <c r="A149" s="244"/>
      <c r="B149" s="333" t="s">
        <v>663</v>
      </c>
      <c r="C149" s="251" t="s">
        <v>19</v>
      </c>
      <c r="D149" s="328" t="s">
        <v>664</v>
      </c>
      <c r="E149" s="321" t="s">
        <v>21</v>
      </c>
      <c r="F149" s="322">
        <v>0.2</v>
      </c>
      <c r="G149" s="307">
        <v>17.23</v>
      </c>
      <c r="H149" s="323">
        <f>F149*G149</f>
        <v>3.4460000000000002</v>
      </c>
    </row>
    <row r="150" spans="1:8" s="243" customFormat="1" ht="25.5">
      <c r="A150" s="244"/>
      <c r="B150" s="333" t="s">
        <v>690</v>
      </c>
      <c r="C150" s="251" t="s">
        <v>19</v>
      </c>
      <c r="D150" s="328" t="s">
        <v>691</v>
      </c>
      <c r="E150" s="321" t="s">
        <v>32</v>
      </c>
      <c r="F150" s="322">
        <v>1</v>
      </c>
      <c r="G150" s="323">
        <v>12.84</v>
      </c>
      <c r="H150" s="323">
        <f>F150*G150</f>
        <v>12.84</v>
      </c>
    </row>
    <row r="151" spans="1:8" s="243" customFormat="1">
      <c r="A151" s="209"/>
      <c r="B151" s="392" t="s">
        <v>606</v>
      </c>
      <c r="C151" s="392"/>
      <c r="D151" s="392"/>
      <c r="E151" s="392"/>
      <c r="F151" s="392"/>
      <c r="G151" s="392"/>
      <c r="H151" s="319">
        <f>SUM(H148:H150)</f>
        <v>20.428000000000001</v>
      </c>
    </row>
    <row r="152" spans="1:8" s="243" customFormat="1">
      <c r="A152" s="209"/>
      <c r="B152" s="329"/>
      <c r="C152" s="329"/>
      <c r="D152" s="329"/>
      <c r="E152" s="329"/>
      <c r="F152" s="329"/>
      <c r="G152" s="329"/>
      <c r="H152" s="330"/>
    </row>
    <row r="153" spans="1:8" s="243" customFormat="1" ht="51">
      <c r="A153" s="209"/>
      <c r="B153" s="246" t="s">
        <v>25</v>
      </c>
      <c r="C153" s="246" t="s">
        <v>314</v>
      </c>
      <c r="D153" s="286" t="s">
        <v>315</v>
      </c>
      <c r="E153" s="287" t="s">
        <v>647</v>
      </c>
      <c r="F153" s="246"/>
      <c r="G153" s="246"/>
      <c r="H153" s="246"/>
    </row>
    <row r="154" spans="1:8" s="243" customFormat="1" ht="25.5">
      <c r="A154" s="209"/>
      <c r="B154" s="326" t="s">
        <v>7</v>
      </c>
      <c r="C154" s="326" t="s">
        <v>616</v>
      </c>
      <c r="D154" s="334" t="s">
        <v>9</v>
      </c>
      <c r="E154" s="335" t="s">
        <v>617</v>
      </c>
      <c r="F154" s="336" t="s">
        <v>618</v>
      </c>
      <c r="G154" s="337" t="s">
        <v>648</v>
      </c>
      <c r="H154" s="337" t="s">
        <v>606</v>
      </c>
    </row>
    <row r="155" spans="1:8" s="243" customFormat="1">
      <c r="A155" s="209"/>
      <c r="B155" s="327" t="s">
        <v>661</v>
      </c>
      <c r="C155" s="251" t="s">
        <v>19</v>
      </c>
      <c r="D155" s="276" t="s">
        <v>662</v>
      </c>
      <c r="E155" s="321" t="s">
        <v>21</v>
      </c>
      <c r="F155" s="322">
        <v>0.08</v>
      </c>
      <c r="G155" s="307">
        <v>20.71</v>
      </c>
      <c r="H155" s="322">
        <f>F155*G155</f>
        <v>1.6568000000000001</v>
      </c>
    </row>
    <row r="156" spans="1:8" s="243" customFormat="1" ht="25.5">
      <c r="A156" s="209"/>
      <c r="B156" s="327" t="s">
        <v>663</v>
      </c>
      <c r="C156" s="251" t="s">
        <v>19</v>
      </c>
      <c r="D156" s="276" t="s">
        <v>664</v>
      </c>
      <c r="E156" s="321" t="s">
        <v>21</v>
      </c>
      <c r="F156" s="322">
        <v>0.08</v>
      </c>
      <c r="G156" s="307">
        <v>17.23</v>
      </c>
      <c r="H156" s="322">
        <f>F156*G156</f>
        <v>1.3784000000000001</v>
      </c>
    </row>
    <row r="157" spans="1:8" s="243" customFormat="1" ht="38.25">
      <c r="A157" s="209"/>
      <c r="B157" s="327" t="s">
        <v>733</v>
      </c>
      <c r="C157" s="251" t="s">
        <v>19</v>
      </c>
      <c r="D157" s="276" t="s">
        <v>734</v>
      </c>
      <c r="E157" s="321" t="s">
        <v>32</v>
      </c>
      <c r="F157" s="322">
        <v>1</v>
      </c>
      <c r="G157" s="338">
        <v>2.79</v>
      </c>
      <c r="H157" s="276">
        <f>F157*G157</f>
        <v>2.79</v>
      </c>
    </row>
    <row r="158" spans="1:8" s="243" customFormat="1">
      <c r="A158" s="209"/>
      <c r="B158" s="392" t="s">
        <v>606</v>
      </c>
      <c r="C158" s="392"/>
      <c r="D158" s="392"/>
      <c r="E158" s="392"/>
      <c r="F158" s="392"/>
      <c r="G158" s="392"/>
      <c r="H158" s="339">
        <f>SUM(H155:H157)</f>
        <v>5.8252000000000006</v>
      </c>
    </row>
    <row r="159" spans="1:8" s="243" customFormat="1">
      <c r="A159" s="209"/>
      <c r="B159" s="329"/>
      <c r="C159" s="329"/>
      <c r="D159" s="329"/>
      <c r="E159" s="329"/>
      <c r="F159" s="329"/>
      <c r="G159" s="329"/>
      <c r="H159" s="330"/>
    </row>
    <row r="160" spans="1:8" s="243" customFormat="1" ht="51">
      <c r="A160" s="209"/>
      <c r="B160" s="246" t="s">
        <v>25</v>
      </c>
      <c r="C160" s="246" t="s">
        <v>317</v>
      </c>
      <c r="D160" s="286" t="s">
        <v>735</v>
      </c>
      <c r="E160" s="287" t="s">
        <v>647</v>
      </c>
      <c r="F160" s="246"/>
      <c r="G160" s="246"/>
      <c r="H160" s="246"/>
    </row>
    <row r="161" spans="1:8" s="243" customFormat="1" ht="25.5">
      <c r="A161" s="209"/>
      <c r="B161" s="326" t="s">
        <v>7</v>
      </c>
      <c r="C161" s="326" t="s">
        <v>616</v>
      </c>
      <c r="D161" s="334" t="s">
        <v>9</v>
      </c>
      <c r="E161" s="335" t="s">
        <v>617</v>
      </c>
      <c r="F161" s="336" t="s">
        <v>618</v>
      </c>
      <c r="G161" s="337" t="s">
        <v>648</v>
      </c>
      <c r="H161" s="337" t="s">
        <v>606</v>
      </c>
    </row>
    <row r="162" spans="1:8" s="243" customFormat="1">
      <c r="A162" s="209"/>
      <c r="B162" s="327" t="s">
        <v>661</v>
      </c>
      <c r="C162" s="251" t="s">
        <v>19</v>
      </c>
      <c r="D162" s="276" t="s">
        <v>662</v>
      </c>
      <c r="E162" s="321" t="s">
        <v>21</v>
      </c>
      <c r="F162" s="322">
        <v>0.08</v>
      </c>
      <c r="G162" s="307">
        <v>20.71</v>
      </c>
      <c r="H162" s="322">
        <f>F162*G162</f>
        <v>1.6568000000000001</v>
      </c>
    </row>
    <row r="163" spans="1:8" s="243" customFormat="1" ht="25.5">
      <c r="A163" s="209"/>
      <c r="B163" s="327" t="s">
        <v>663</v>
      </c>
      <c r="C163" s="251" t="s">
        <v>19</v>
      </c>
      <c r="D163" s="276" t="s">
        <v>664</v>
      </c>
      <c r="E163" s="321" t="s">
        <v>21</v>
      </c>
      <c r="F163" s="322">
        <v>0.08</v>
      </c>
      <c r="G163" s="307">
        <v>17.23</v>
      </c>
      <c r="H163" s="322">
        <f>F163*G163</f>
        <v>1.3784000000000001</v>
      </c>
    </row>
    <row r="164" spans="1:8" s="243" customFormat="1" ht="38.25">
      <c r="A164" s="209"/>
      <c r="B164" s="327" t="s">
        <v>736</v>
      </c>
      <c r="C164" s="251" t="s">
        <v>19</v>
      </c>
      <c r="D164" s="276" t="s">
        <v>737</v>
      </c>
      <c r="E164" s="321" t="s">
        <v>32</v>
      </c>
      <c r="F164" s="322">
        <v>1</v>
      </c>
      <c r="G164" s="276">
        <v>1.79</v>
      </c>
      <c r="H164" s="276">
        <f>F164*G164</f>
        <v>1.79</v>
      </c>
    </row>
    <row r="165" spans="1:8" s="243" customFormat="1">
      <c r="A165" s="209"/>
      <c r="B165" s="392" t="s">
        <v>606</v>
      </c>
      <c r="C165" s="392"/>
      <c r="D165" s="392"/>
      <c r="E165" s="392"/>
      <c r="F165" s="392"/>
      <c r="G165" s="392"/>
      <c r="H165" s="339">
        <f>SUM(H162:H164)</f>
        <v>4.8252000000000006</v>
      </c>
    </row>
    <row r="166" spans="1:8" s="243" customFormat="1">
      <c r="A166" s="209"/>
      <c r="B166" s="329"/>
      <c r="C166" s="329"/>
      <c r="D166" s="329"/>
      <c r="E166" s="329"/>
      <c r="F166" s="329"/>
      <c r="G166" s="329"/>
      <c r="H166" s="330"/>
    </row>
    <row r="167" spans="1:8" s="243" customFormat="1" ht="38.25">
      <c r="A167" s="209"/>
      <c r="B167" s="246" t="s">
        <v>25</v>
      </c>
      <c r="C167" s="246" t="s">
        <v>320</v>
      </c>
      <c r="D167" s="286" t="s">
        <v>738</v>
      </c>
      <c r="E167" s="287" t="s">
        <v>647</v>
      </c>
      <c r="F167" s="246"/>
      <c r="G167" s="246"/>
      <c r="H167" s="246"/>
    </row>
    <row r="168" spans="1:8" s="243" customFormat="1" ht="25.5">
      <c r="A168" s="209"/>
      <c r="B168" s="326" t="s">
        <v>7</v>
      </c>
      <c r="C168" s="326" t="s">
        <v>616</v>
      </c>
      <c r="D168" s="334" t="s">
        <v>9</v>
      </c>
      <c r="E168" s="335" t="s">
        <v>617</v>
      </c>
      <c r="F168" s="336" t="s">
        <v>618</v>
      </c>
      <c r="G168" s="337" t="s">
        <v>648</v>
      </c>
      <c r="H168" s="337" t="s">
        <v>606</v>
      </c>
    </row>
    <row r="169" spans="1:8" s="243" customFormat="1">
      <c r="A169" s="209"/>
      <c r="B169" s="327" t="s">
        <v>661</v>
      </c>
      <c r="C169" s="251" t="s">
        <v>19</v>
      </c>
      <c r="D169" s="276" t="s">
        <v>662</v>
      </c>
      <c r="E169" s="321" t="s">
        <v>21</v>
      </c>
      <c r="F169" s="322">
        <v>0.08</v>
      </c>
      <c r="G169" s="307">
        <v>20.71</v>
      </c>
      <c r="H169" s="322">
        <f>F169*G169</f>
        <v>1.6568000000000001</v>
      </c>
    </row>
    <row r="170" spans="1:8" s="243" customFormat="1" ht="25.5">
      <c r="A170" s="209"/>
      <c r="B170" s="327" t="s">
        <v>663</v>
      </c>
      <c r="C170" s="251" t="s">
        <v>19</v>
      </c>
      <c r="D170" s="276" t="s">
        <v>664</v>
      </c>
      <c r="E170" s="321" t="s">
        <v>21</v>
      </c>
      <c r="F170" s="322">
        <v>0.08</v>
      </c>
      <c r="G170" s="307">
        <v>17.23</v>
      </c>
      <c r="H170" s="322">
        <f>F170*G170</f>
        <v>1.3784000000000001</v>
      </c>
    </row>
    <row r="171" spans="1:8" s="243" customFormat="1" ht="38.25">
      <c r="A171" s="209"/>
      <c r="B171" s="327" t="s">
        <v>739</v>
      </c>
      <c r="C171" s="251" t="s">
        <v>19</v>
      </c>
      <c r="D171" s="276" t="s">
        <v>740</v>
      </c>
      <c r="E171" s="321" t="s">
        <v>32</v>
      </c>
      <c r="F171" s="322">
        <v>1</v>
      </c>
      <c r="G171" s="276">
        <v>1.17</v>
      </c>
      <c r="H171" s="276">
        <f>F171*G171</f>
        <v>1.17</v>
      </c>
    </row>
    <row r="172" spans="1:8" s="243" customFormat="1">
      <c r="A172" s="209"/>
      <c r="B172" s="392" t="s">
        <v>606</v>
      </c>
      <c r="C172" s="392"/>
      <c r="D172" s="392"/>
      <c r="E172" s="392"/>
      <c r="F172" s="392"/>
      <c r="G172" s="392"/>
      <c r="H172" s="339">
        <f>SUM(H169:H171)</f>
        <v>4.2051999999999996</v>
      </c>
    </row>
    <row r="173" spans="1:8" s="243" customFormat="1">
      <c r="A173" s="209"/>
      <c r="B173" s="209"/>
      <c r="C173" s="340"/>
      <c r="D173" s="341"/>
      <c r="E173" s="341"/>
      <c r="F173" s="342"/>
      <c r="G173" s="341"/>
      <c r="H173" s="342"/>
    </row>
    <row r="174" spans="1:8" s="243" customFormat="1" ht="38.25">
      <c r="A174" s="209"/>
      <c r="B174" s="246" t="s">
        <v>25</v>
      </c>
      <c r="C174" s="246" t="s">
        <v>363</v>
      </c>
      <c r="D174" s="286" t="s">
        <v>741</v>
      </c>
      <c r="E174" s="287" t="s">
        <v>647</v>
      </c>
      <c r="F174" s="246"/>
      <c r="G174" s="246"/>
      <c r="H174" s="246"/>
    </row>
    <row r="175" spans="1:8" s="243" customFormat="1" ht="25.5">
      <c r="A175" s="209"/>
      <c r="B175" s="343" t="s">
        <v>7</v>
      </c>
      <c r="C175" s="249" t="s">
        <v>616</v>
      </c>
      <c r="D175" s="344" t="s">
        <v>9</v>
      </c>
      <c r="E175" s="289" t="s">
        <v>617</v>
      </c>
      <c r="F175" s="290" t="s">
        <v>618</v>
      </c>
      <c r="G175" s="291" t="s">
        <v>648</v>
      </c>
      <c r="H175" s="291" t="s">
        <v>606</v>
      </c>
    </row>
    <row r="176" spans="1:8" s="243" customFormat="1">
      <c r="A176" s="209"/>
      <c r="B176" s="333" t="s">
        <v>665</v>
      </c>
      <c r="C176" s="251" t="s">
        <v>19</v>
      </c>
      <c r="D176" s="328" t="s">
        <v>638</v>
      </c>
      <c r="E176" s="321" t="s">
        <v>21</v>
      </c>
      <c r="F176" s="322">
        <v>0.34739999999999999</v>
      </c>
      <c r="G176" s="323">
        <v>19.98</v>
      </c>
      <c r="H176" s="266">
        <f>(F176*G176)</f>
        <v>6.941052</v>
      </c>
    </row>
    <row r="177" spans="1:8" s="243" customFormat="1">
      <c r="A177" s="209"/>
      <c r="B177" s="333" t="s">
        <v>742</v>
      </c>
      <c r="C177" s="251" t="s">
        <v>19</v>
      </c>
      <c r="D177" s="328" t="s">
        <v>622</v>
      </c>
      <c r="E177" s="321" t="s">
        <v>21</v>
      </c>
      <c r="F177" s="322">
        <v>0.2</v>
      </c>
      <c r="G177" s="323">
        <v>16.02</v>
      </c>
      <c r="H177" s="266">
        <f>(F177*G177)</f>
        <v>3.2040000000000002</v>
      </c>
    </row>
    <row r="178" spans="1:8" s="243" customFormat="1" ht="25.5">
      <c r="A178" s="209"/>
      <c r="B178" s="345" t="s">
        <v>743</v>
      </c>
      <c r="C178" s="251" t="s">
        <v>19</v>
      </c>
      <c r="D178" s="328" t="s">
        <v>744</v>
      </c>
      <c r="E178" s="263" t="s">
        <v>32</v>
      </c>
      <c r="F178" s="346">
        <v>1</v>
      </c>
      <c r="G178" s="265">
        <v>64.38</v>
      </c>
      <c r="H178" s="266">
        <f>(F178*G178)</f>
        <v>64.38</v>
      </c>
    </row>
    <row r="179" spans="1:8" s="243" customFormat="1">
      <c r="A179" s="209"/>
      <c r="B179" s="392" t="s">
        <v>606</v>
      </c>
      <c r="C179" s="392"/>
      <c r="D179" s="392"/>
      <c r="E179" s="392"/>
      <c r="F179" s="392"/>
      <c r="G179" s="392"/>
      <c r="H179" s="319">
        <f>SUM(H176:H178)</f>
        <v>74.525051999999988</v>
      </c>
    </row>
    <row r="180" spans="1:8" s="243" customFormat="1">
      <c r="A180" s="209"/>
      <c r="B180" s="209"/>
      <c r="C180" s="340"/>
      <c r="D180" s="341"/>
      <c r="E180" s="341"/>
      <c r="F180" s="342"/>
      <c r="G180" s="341"/>
      <c r="H180" s="342"/>
    </row>
    <row r="181" spans="1:8" s="243" customFormat="1" ht="38.25">
      <c r="A181" s="209"/>
      <c r="B181" s="246" t="s">
        <v>25</v>
      </c>
      <c r="C181" s="246" t="s">
        <v>384</v>
      </c>
      <c r="D181" s="286" t="s">
        <v>745</v>
      </c>
      <c r="E181" s="287" t="s">
        <v>647</v>
      </c>
      <c r="F181" s="246"/>
      <c r="G181" s="246"/>
      <c r="H181" s="246"/>
    </row>
    <row r="182" spans="1:8" s="243" customFormat="1" ht="25.5">
      <c r="A182" s="209"/>
      <c r="B182" s="343" t="s">
        <v>7</v>
      </c>
      <c r="C182" s="249" t="s">
        <v>616</v>
      </c>
      <c r="D182" s="344" t="s">
        <v>9</v>
      </c>
      <c r="E182" s="289" t="s">
        <v>617</v>
      </c>
      <c r="F182" s="290" t="s">
        <v>618</v>
      </c>
      <c r="G182" s="291" t="s">
        <v>648</v>
      </c>
      <c r="H182" s="291" t="s">
        <v>606</v>
      </c>
    </row>
    <row r="183" spans="1:8" s="243" customFormat="1">
      <c r="A183" s="209"/>
      <c r="B183" s="327" t="s">
        <v>661</v>
      </c>
      <c r="C183" s="251" t="s">
        <v>19</v>
      </c>
      <c r="D183" s="276" t="s">
        <v>662</v>
      </c>
      <c r="E183" s="321" t="s">
        <v>21</v>
      </c>
      <c r="F183" s="322">
        <v>1</v>
      </c>
      <c r="G183" s="307">
        <v>20.71</v>
      </c>
      <c r="H183" s="323">
        <f>F183*G183</f>
        <v>20.71</v>
      </c>
    </row>
    <row r="184" spans="1:8" s="243" customFormat="1" ht="25.5">
      <c r="A184" s="209"/>
      <c r="B184" s="327" t="s">
        <v>663</v>
      </c>
      <c r="C184" s="251" t="s">
        <v>19</v>
      </c>
      <c r="D184" s="276" t="s">
        <v>664</v>
      </c>
      <c r="E184" s="321" t="s">
        <v>21</v>
      </c>
      <c r="F184" s="322">
        <v>0.8</v>
      </c>
      <c r="G184" s="307">
        <v>17.23</v>
      </c>
      <c r="H184" s="323">
        <f>F184*G184</f>
        <v>13.784000000000001</v>
      </c>
    </row>
    <row r="185" spans="1:8" s="243" customFormat="1" ht="25.5">
      <c r="A185" s="209"/>
      <c r="B185" s="327" t="s">
        <v>746</v>
      </c>
      <c r="C185" s="251" t="s">
        <v>634</v>
      </c>
      <c r="D185" s="276" t="s">
        <v>747</v>
      </c>
      <c r="E185" s="321" t="s">
        <v>32</v>
      </c>
      <c r="F185" s="322">
        <v>1</v>
      </c>
      <c r="G185" s="323">
        <v>622.92999999999995</v>
      </c>
      <c r="H185" s="323">
        <f>F185*G185</f>
        <v>622.92999999999995</v>
      </c>
    </row>
    <row r="186" spans="1:8" s="243" customFormat="1" ht="31.5" customHeight="1">
      <c r="A186" s="209"/>
      <c r="B186" s="347">
        <v>44432</v>
      </c>
      <c r="C186" s="251" t="s">
        <v>634</v>
      </c>
      <c r="D186" s="348" t="s">
        <v>748</v>
      </c>
      <c r="E186" s="349">
        <v>705.87</v>
      </c>
      <c r="F186" s="350" t="s">
        <v>749</v>
      </c>
      <c r="G186" s="351" t="s">
        <v>750</v>
      </c>
      <c r="H186" s="352" t="s">
        <v>751</v>
      </c>
    </row>
    <row r="187" spans="1:8" s="243" customFormat="1" ht="30" customHeight="1">
      <c r="A187" s="209"/>
      <c r="B187" s="347">
        <v>44432</v>
      </c>
      <c r="C187" s="251" t="s">
        <v>634</v>
      </c>
      <c r="D187" s="348" t="s">
        <v>752</v>
      </c>
      <c r="E187" s="349">
        <v>419</v>
      </c>
      <c r="F187" s="350" t="s">
        <v>753</v>
      </c>
      <c r="G187" s="353" t="s">
        <v>754</v>
      </c>
      <c r="H187" s="354" t="s">
        <v>755</v>
      </c>
    </row>
    <row r="188" spans="1:8" s="243" customFormat="1" ht="25.5">
      <c r="A188" s="209"/>
      <c r="B188" s="347">
        <v>44432</v>
      </c>
      <c r="C188" s="251" t="s">
        <v>634</v>
      </c>
      <c r="D188" s="348" t="s">
        <v>756</v>
      </c>
      <c r="E188" s="349">
        <v>743.91</v>
      </c>
      <c r="F188" s="355" t="s">
        <v>757</v>
      </c>
      <c r="G188" s="356" t="s">
        <v>758</v>
      </c>
      <c r="H188" s="357" t="s">
        <v>759</v>
      </c>
    </row>
    <row r="189" spans="1:8" s="243" customFormat="1">
      <c r="A189" s="209"/>
      <c r="B189" s="392" t="s">
        <v>606</v>
      </c>
      <c r="C189" s="392"/>
      <c r="D189" s="392"/>
      <c r="E189" s="392"/>
      <c r="F189" s="392"/>
      <c r="G189" s="392"/>
      <c r="H189" s="319">
        <f>SUM(H183:H185)</f>
        <v>657.42399999999998</v>
      </c>
    </row>
    <row r="190" spans="1:8" s="243" customFormat="1"/>
    <row r="191" spans="1:8" s="243" customFormat="1"/>
    <row r="192" spans="1:8" s="243" customFormat="1" ht="38.25">
      <c r="A192" s="209"/>
      <c r="B192" s="246" t="s">
        <v>25</v>
      </c>
      <c r="C192" s="246" t="s">
        <v>387</v>
      </c>
      <c r="D192" s="286" t="s">
        <v>760</v>
      </c>
      <c r="E192" s="287" t="s">
        <v>647</v>
      </c>
      <c r="F192" s="246"/>
      <c r="G192" s="246"/>
      <c r="H192" s="246"/>
    </row>
    <row r="193" spans="1:8" s="243" customFormat="1" ht="25.5">
      <c r="A193" s="209"/>
      <c r="B193" s="343" t="s">
        <v>7</v>
      </c>
      <c r="C193" s="249" t="s">
        <v>616</v>
      </c>
      <c r="D193" s="344" t="s">
        <v>9</v>
      </c>
      <c r="E193" s="289" t="s">
        <v>617</v>
      </c>
      <c r="F193" s="290" t="s">
        <v>618</v>
      </c>
      <c r="G193" s="291" t="s">
        <v>648</v>
      </c>
      <c r="H193" s="291" t="s">
        <v>606</v>
      </c>
    </row>
    <row r="194" spans="1:8" s="243" customFormat="1">
      <c r="A194" s="209"/>
      <c r="B194" s="327" t="s">
        <v>661</v>
      </c>
      <c r="C194" s="251" t="s">
        <v>19</v>
      </c>
      <c r="D194" s="276" t="s">
        <v>662</v>
      </c>
      <c r="E194" s="321" t="s">
        <v>21</v>
      </c>
      <c r="F194" s="322">
        <v>0.8</v>
      </c>
      <c r="G194" s="307">
        <v>20.71</v>
      </c>
      <c r="H194" s="323">
        <f>F194*G194</f>
        <v>16.568000000000001</v>
      </c>
    </row>
    <row r="195" spans="1:8" s="243" customFormat="1" ht="25.5">
      <c r="A195" s="209"/>
      <c r="B195" s="327" t="s">
        <v>663</v>
      </c>
      <c r="C195" s="251" t="s">
        <v>19</v>
      </c>
      <c r="D195" s="276" t="s">
        <v>664</v>
      </c>
      <c r="E195" s="321" t="s">
        <v>21</v>
      </c>
      <c r="F195" s="322">
        <v>0.8</v>
      </c>
      <c r="G195" s="307">
        <v>17.23</v>
      </c>
      <c r="H195" s="323">
        <f>F195*G195</f>
        <v>13.784000000000001</v>
      </c>
    </row>
    <row r="196" spans="1:8" s="243" customFormat="1" ht="25.5">
      <c r="A196" s="209"/>
      <c r="B196" s="358"/>
      <c r="C196" s="251" t="s">
        <v>634</v>
      </c>
      <c r="D196" s="276" t="s">
        <v>761</v>
      </c>
      <c r="E196" s="321" t="s">
        <v>32</v>
      </c>
      <c r="F196" s="322">
        <v>1</v>
      </c>
      <c r="G196" s="323">
        <v>17.13</v>
      </c>
      <c r="H196" s="323">
        <f>F196*G196</f>
        <v>17.13</v>
      </c>
    </row>
    <row r="197" spans="1:8" s="243" customFormat="1">
      <c r="A197" s="209"/>
      <c r="B197" s="358"/>
      <c r="C197" s="251" t="s">
        <v>634</v>
      </c>
      <c r="D197" s="276" t="s">
        <v>762</v>
      </c>
      <c r="E197" s="359"/>
      <c r="F197" s="360"/>
      <c r="G197" s="359"/>
      <c r="H197" s="359"/>
    </row>
    <row r="198" spans="1:8" s="243" customFormat="1">
      <c r="A198" s="209"/>
      <c r="B198" s="392" t="s">
        <v>606</v>
      </c>
      <c r="C198" s="392"/>
      <c r="D198" s="392"/>
      <c r="E198" s="392"/>
      <c r="F198" s="392"/>
      <c r="G198" s="392"/>
      <c r="H198" s="319">
        <f>SUM(H194:H196)</f>
        <v>47.481999999999999</v>
      </c>
    </row>
    <row r="199" spans="1:8" s="243" customFormat="1">
      <c r="A199" s="209"/>
      <c r="B199" s="303"/>
    </row>
    <row r="200" spans="1:8" s="243" customFormat="1" ht="25.5">
      <c r="A200" s="209"/>
      <c r="B200" s="246" t="s">
        <v>25</v>
      </c>
      <c r="C200" s="246" t="s">
        <v>390</v>
      </c>
      <c r="D200" s="286" t="s">
        <v>391</v>
      </c>
      <c r="E200" s="287" t="s">
        <v>647</v>
      </c>
      <c r="F200" s="246"/>
      <c r="G200" s="246"/>
      <c r="H200" s="246"/>
    </row>
    <row r="201" spans="1:8" s="243" customFormat="1" ht="25.5">
      <c r="A201" s="209"/>
      <c r="B201" s="343" t="s">
        <v>7</v>
      </c>
      <c r="C201" s="326" t="s">
        <v>616</v>
      </c>
      <c r="D201" s="344" t="s">
        <v>9</v>
      </c>
      <c r="E201" s="289" t="s">
        <v>617</v>
      </c>
      <c r="F201" s="290" t="s">
        <v>618</v>
      </c>
      <c r="G201" s="291" t="s">
        <v>648</v>
      </c>
      <c r="H201" s="291" t="s">
        <v>606</v>
      </c>
    </row>
    <row r="202" spans="1:8" s="243" customFormat="1">
      <c r="A202" s="209"/>
      <c r="B202" s="333" t="s">
        <v>661</v>
      </c>
      <c r="C202" s="251" t="s">
        <v>19</v>
      </c>
      <c r="D202" s="328" t="s">
        <v>662</v>
      </c>
      <c r="E202" s="321" t="s">
        <v>21</v>
      </c>
      <c r="F202" s="322">
        <v>0.6</v>
      </c>
      <c r="G202" s="307">
        <v>20.71</v>
      </c>
      <c r="H202" s="323">
        <f>F202*G202</f>
        <v>12.426</v>
      </c>
    </row>
    <row r="203" spans="1:8" s="243" customFormat="1" ht="25.5">
      <c r="A203" s="209"/>
      <c r="B203" s="333" t="s">
        <v>663</v>
      </c>
      <c r="C203" s="251" t="s">
        <v>19</v>
      </c>
      <c r="D203" s="328" t="s">
        <v>664</v>
      </c>
      <c r="E203" s="321" t="s">
        <v>21</v>
      </c>
      <c r="F203" s="322">
        <v>0.6</v>
      </c>
      <c r="G203" s="307">
        <v>17.23</v>
      </c>
      <c r="H203" s="323">
        <f>F203*G203</f>
        <v>10.337999999999999</v>
      </c>
    </row>
    <row r="204" spans="1:8" s="243" customFormat="1" ht="25.5">
      <c r="A204" s="209"/>
      <c r="B204" s="333"/>
      <c r="C204" s="251" t="s">
        <v>634</v>
      </c>
      <c r="D204" s="328" t="s">
        <v>763</v>
      </c>
      <c r="E204" s="321" t="s">
        <v>32</v>
      </c>
      <c r="F204" s="322">
        <v>1</v>
      </c>
      <c r="G204" s="323">
        <v>168.31</v>
      </c>
      <c r="H204" s="323">
        <f>F204*G204</f>
        <v>168.31</v>
      </c>
    </row>
    <row r="205" spans="1:8" s="243" customFormat="1">
      <c r="A205" s="209"/>
      <c r="B205" s="333"/>
      <c r="C205" s="251" t="s">
        <v>634</v>
      </c>
      <c r="D205" s="328" t="s">
        <v>762</v>
      </c>
      <c r="E205" s="263"/>
      <c r="F205" s="361"/>
      <c r="G205" s="362"/>
      <c r="H205" s="362"/>
    </row>
    <row r="206" spans="1:8" s="243" customFormat="1">
      <c r="A206" s="209"/>
      <c r="B206" s="392" t="s">
        <v>606</v>
      </c>
      <c r="C206" s="392"/>
      <c r="D206" s="392"/>
      <c r="E206" s="392"/>
      <c r="F206" s="392"/>
      <c r="G206" s="392"/>
      <c r="H206" s="319">
        <f>SUM(H202:H204)</f>
        <v>191.07400000000001</v>
      </c>
    </row>
    <row r="207" spans="1:8" s="243" customFormat="1"/>
    <row r="208" spans="1:8" s="243" customFormat="1" ht="25.5">
      <c r="B208" s="246" t="s">
        <v>25</v>
      </c>
      <c r="C208" s="246" t="s">
        <v>393</v>
      </c>
      <c r="D208" s="286" t="s">
        <v>764</v>
      </c>
      <c r="E208" s="287" t="s">
        <v>647</v>
      </c>
      <c r="F208" s="246"/>
      <c r="G208" s="246"/>
      <c r="H208" s="246"/>
    </row>
    <row r="209" spans="1:8" s="243" customFormat="1" ht="25.5">
      <c r="B209" s="343" t="s">
        <v>7</v>
      </c>
      <c r="C209" s="326" t="s">
        <v>616</v>
      </c>
      <c r="D209" s="344" t="s">
        <v>9</v>
      </c>
      <c r="E209" s="289" t="s">
        <v>617</v>
      </c>
      <c r="F209" s="290" t="s">
        <v>618</v>
      </c>
      <c r="G209" s="291" t="s">
        <v>648</v>
      </c>
      <c r="H209" s="291" t="s">
        <v>606</v>
      </c>
    </row>
    <row r="210" spans="1:8" s="243" customFormat="1">
      <c r="A210" s="209"/>
      <c r="B210" s="333" t="s">
        <v>661</v>
      </c>
      <c r="C210" s="251" t="s">
        <v>19</v>
      </c>
      <c r="D210" s="328" t="s">
        <v>662</v>
      </c>
      <c r="E210" s="321" t="s">
        <v>21</v>
      </c>
      <c r="F210" s="322">
        <v>8.5000000000000006E-2</v>
      </c>
      <c r="G210" s="307">
        <v>20.71</v>
      </c>
      <c r="H210" s="323">
        <f>F210*G210</f>
        <v>1.7603500000000003</v>
      </c>
    </row>
    <row r="211" spans="1:8" s="243" customFormat="1" ht="25.5">
      <c r="A211" s="209"/>
      <c r="B211" s="333" t="s">
        <v>663</v>
      </c>
      <c r="C211" s="251" t="s">
        <v>19</v>
      </c>
      <c r="D211" s="328" t="s">
        <v>664</v>
      </c>
      <c r="E211" s="321" t="s">
        <v>21</v>
      </c>
      <c r="F211" s="322">
        <v>0.01</v>
      </c>
      <c r="G211" s="307">
        <v>17.23</v>
      </c>
      <c r="H211" s="323">
        <f>F211*G211</f>
        <v>0.17230000000000001</v>
      </c>
    </row>
    <row r="212" spans="1:8" s="243" customFormat="1">
      <c r="A212" s="209"/>
      <c r="B212" s="333" t="s">
        <v>765</v>
      </c>
      <c r="C212" s="251" t="s">
        <v>19</v>
      </c>
      <c r="D212" s="328" t="s">
        <v>766</v>
      </c>
      <c r="E212" s="321" t="s">
        <v>32</v>
      </c>
      <c r="F212" s="322">
        <v>1</v>
      </c>
      <c r="G212" s="323">
        <v>13.31</v>
      </c>
      <c r="H212" s="323">
        <f>F212*G212</f>
        <v>13.31</v>
      </c>
    </row>
    <row r="213" spans="1:8" s="243" customFormat="1">
      <c r="A213" s="209"/>
      <c r="B213" s="392" t="s">
        <v>606</v>
      </c>
      <c r="C213" s="392"/>
      <c r="D213" s="392"/>
      <c r="E213" s="392"/>
      <c r="F213" s="392"/>
      <c r="G213" s="392"/>
      <c r="H213" s="319">
        <f>SUM(H209:H212)</f>
        <v>15.242650000000001</v>
      </c>
    </row>
    <row r="214" spans="1:8" s="243" customFormat="1"/>
    <row r="215" spans="1:8" s="243" customFormat="1"/>
    <row r="216" spans="1:8" s="243" customFormat="1" ht="25.5">
      <c r="B216" s="246" t="s">
        <v>25</v>
      </c>
      <c r="C216" s="246" t="s">
        <v>396</v>
      </c>
      <c r="D216" s="286" t="s">
        <v>767</v>
      </c>
      <c r="E216" s="287" t="s">
        <v>647</v>
      </c>
      <c r="F216" s="246"/>
      <c r="G216" s="246"/>
      <c r="H216" s="246"/>
    </row>
    <row r="217" spans="1:8" s="243" customFormat="1" ht="25.5">
      <c r="B217" s="343" t="s">
        <v>7</v>
      </c>
      <c r="C217" s="326" t="s">
        <v>616</v>
      </c>
      <c r="D217" s="344" t="s">
        <v>9</v>
      </c>
      <c r="E217" s="289" t="s">
        <v>617</v>
      </c>
      <c r="F217" s="290" t="s">
        <v>618</v>
      </c>
      <c r="G217" s="291" t="s">
        <v>648</v>
      </c>
      <c r="H217" s="291" t="s">
        <v>606</v>
      </c>
    </row>
    <row r="218" spans="1:8" s="243" customFormat="1">
      <c r="A218" s="209"/>
      <c r="B218" s="333" t="s">
        <v>661</v>
      </c>
      <c r="C218" s="251" t="s">
        <v>19</v>
      </c>
      <c r="D218" s="328" t="s">
        <v>662</v>
      </c>
      <c r="E218" s="321" t="s">
        <v>21</v>
      </c>
      <c r="F218" s="322">
        <v>8.5000000000000006E-2</v>
      </c>
      <c r="G218" s="307">
        <v>20.71</v>
      </c>
      <c r="H218" s="323">
        <f>F218*G218</f>
        <v>1.7603500000000003</v>
      </c>
    </row>
    <row r="219" spans="1:8" s="243" customFormat="1" ht="25.5">
      <c r="A219" s="209"/>
      <c r="B219" s="333" t="s">
        <v>663</v>
      </c>
      <c r="C219" s="251" t="s">
        <v>19</v>
      </c>
      <c r="D219" s="328" t="s">
        <v>664</v>
      </c>
      <c r="E219" s="321" t="s">
        <v>21</v>
      </c>
      <c r="F219" s="322">
        <v>0.01</v>
      </c>
      <c r="G219" s="307">
        <v>17.23</v>
      </c>
      <c r="H219" s="323">
        <f>F219*G219</f>
        <v>0.17230000000000001</v>
      </c>
    </row>
    <row r="220" spans="1:8" s="243" customFormat="1">
      <c r="A220" s="209"/>
      <c r="B220" s="333" t="s">
        <v>768</v>
      </c>
      <c r="C220" s="251" t="s">
        <v>19</v>
      </c>
      <c r="D220" s="328" t="s">
        <v>769</v>
      </c>
      <c r="E220" s="321" t="s">
        <v>32</v>
      </c>
      <c r="F220" s="322">
        <v>1</v>
      </c>
      <c r="G220" s="323">
        <v>18.48</v>
      </c>
      <c r="H220" s="323">
        <f>F220*G220</f>
        <v>18.48</v>
      </c>
    </row>
    <row r="221" spans="1:8" s="243" customFormat="1">
      <c r="A221" s="209"/>
      <c r="B221" s="392" t="s">
        <v>606</v>
      </c>
      <c r="C221" s="392"/>
      <c r="D221" s="392"/>
      <c r="E221" s="392"/>
      <c r="F221" s="392"/>
      <c r="G221" s="392"/>
      <c r="H221" s="319">
        <f>SUM(H217:H220)</f>
        <v>20.412649999999999</v>
      </c>
    </row>
    <row r="222" spans="1:8" s="243" customFormat="1"/>
    <row r="223" spans="1:8" s="243" customFormat="1" ht="25.5">
      <c r="B223" s="246" t="s">
        <v>25</v>
      </c>
      <c r="C223" s="246" t="s">
        <v>399</v>
      </c>
      <c r="D223" s="286" t="s">
        <v>400</v>
      </c>
      <c r="E223" s="287" t="s">
        <v>647</v>
      </c>
      <c r="F223" s="246"/>
      <c r="G223" s="246"/>
      <c r="H223" s="246"/>
    </row>
    <row r="224" spans="1:8" s="243" customFormat="1" ht="25.5">
      <c r="A224" s="209"/>
      <c r="B224" s="343" t="s">
        <v>7</v>
      </c>
      <c r="C224" s="249" t="s">
        <v>616</v>
      </c>
      <c r="D224" s="344" t="s">
        <v>9</v>
      </c>
      <c r="E224" s="289" t="s">
        <v>617</v>
      </c>
      <c r="F224" s="290" t="s">
        <v>618</v>
      </c>
      <c r="G224" s="291" t="s">
        <v>648</v>
      </c>
      <c r="H224" s="291" t="s">
        <v>606</v>
      </c>
    </row>
    <row r="225" spans="1:8" s="243" customFormat="1">
      <c r="A225" s="209"/>
      <c r="B225" s="327" t="s">
        <v>661</v>
      </c>
      <c r="C225" s="251" t="s">
        <v>19</v>
      </c>
      <c r="D225" s="276" t="s">
        <v>662</v>
      </c>
      <c r="E225" s="321" t="s">
        <v>21</v>
      </c>
      <c r="F225" s="322">
        <v>0.15</v>
      </c>
      <c r="G225" s="307">
        <v>20.71</v>
      </c>
      <c r="H225" s="265">
        <f>F225*G225</f>
        <v>3.1065</v>
      </c>
    </row>
    <row r="226" spans="1:8" s="243" customFormat="1">
      <c r="A226" s="209"/>
      <c r="B226" s="327" t="s">
        <v>770</v>
      </c>
      <c r="C226" s="251" t="s">
        <v>19</v>
      </c>
      <c r="D226" s="276" t="s">
        <v>771</v>
      </c>
      <c r="E226" s="263" t="s">
        <v>32</v>
      </c>
      <c r="F226" s="361">
        <v>1</v>
      </c>
      <c r="G226" s="307">
        <v>1.54</v>
      </c>
      <c r="H226" s="265">
        <f>F226*G226</f>
        <v>1.54</v>
      </c>
    </row>
    <row r="227" spans="1:8" s="243" customFormat="1">
      <c r="A227" s="209"/>
      <c r="B227" s="392" t="s">
        <v>606</v>
      </c>
      <c r="C227" s="392"/>
      <c r="D227" s="392"/>
      <c r="E227" s="392"/>
      <c r="F227" s="392"/>
      <c r="G227" s="392"/>
      <c r="H227" s="319">
        <f>SUM(H223:H225)</f>
        <v>3.1065</v>
      </c>
    </row>
    <row r="228" spans="1:8" s="243" customFormat="1">
      <c r="A228" s="209"/>
      <c r="B228" s="329"/>
      <c r="C228" s="329"/>
      <c r="D228" s="329"/>
      <c r="E228" s="329"/>
      <c r="F228" s="329"/>
      <c r="G228" s="329"/>
      <c r="H228" s="330"/>
    </row>
    <row r="229" spans="1:8" s="243" customFormat="1" ht="25.5">
      <c r="A229" s="209"/>
      <c r="B229" s="246" t="s">
        <v>25</v>
      </c>
      <c r="C229" s="246" t="s">
        <v>407</v>
      </c>
      <c r="D229" s="286" t="s">
        <v>408</v>
      </c>
      <c r="E229" s="287" t="s">
        <v>647</v>
      </c>
      <c r="F229" s="246"/>
      <c r="G229" s="246"/>
      <c r="H229" s="246"/>
    </row>
    <row r="230" spans="1:8" s="243" customFormat="1" ht="25.5">
      <c r="A230" s="209"/>
      <c r="B230" s="343" t="s">
        <v>7</v>
      </c>
      <c r="C230" s="249" t="s">
        <v>616</v>
      </c>
      <c r="D230" s="344" t="s">
        <v>9</v>
      </c>
      <c r="E230" s="289" t="s">
        <v>617</v>
      </c>
      <c r="F230" s="290" t="s">
        <v>618</v>
      </c>
      <c r="G230" s="291" t="s">
        <v>648</v>
      </c>
      <c r="H230" s="291" t="s">
        <v>606</v>
      </c>
    </row>
    <row r="231" spans="1:8" s="243" customFormat="1">
      <c r="A231" s="209"/>
      <c r="B231" s="327" t="s">
        <v>661</v>
      </c>
      <c r="C231" s="251" t="s">
        <v>19</v>
      </c>
      <c r="D231" s="276" t="s">
        <v>662</v>
      </c>
      <c r="E231" s="321" t="s">
        <v>21</v>
      </c>
      <c r="F231" s="322">
        <v>0.2</v>
      </c>
      <c r="G231" s="307">
        <v>20.71</v>
      </c>
      <c r="H231" s="362">
        <f>F231*G231</f>
        <v>4.1420000000000003</v>
      </c>
    </row>
    <row r="232" spans="1:8" s="243" customFormat="1" ht="25.5">
      <c r="A232" s="209"/>
      <c r="B232" s="327" t="s">
        <v>663</v>
      </c>
      <c r="C232" s="251" t="s">
        <v>19</v>
      </c>
      <c r="D232" s="276" t="s">
        <v>664</v>
      </c>
      <c r="E232" s="321" t="s">
        <v>21</v>
      </c>
      <c r="F232" s="322">
        <v>0.18</v>
      </c>
      <c r="G232" s="307">
        <v>17.23</v>
      </c>
      <c r="H232" s="322">
        <f>F232*G232</f>
        <v>3.1013999999999999</v>
      </c>
    </row>
    <row r="233" spans="1:8" s="243" customFormat="1" ht="25.5">
      <c r="A233" s="209"/>
      <c r="B233" s="327"/>
      <c r="C233" s="251" t="s">
        <v>634</v>
      </c>
      <c r="D233" s="276" t="s">
        <v>772</v>
      </c>
      <c r="E233" s="263" t="s">
        <v>113</v>
      </c>
      <c r="F233" s="361">
        <f>(1/3)</f>
        <v>0.33333333333333331</v>
      </c>
      <c r="G233" s="362">
        <f>371</f>
        <v>371</v>
      </c>
      <c r="H233" s="362">
        <f>F233*G233</f>
        <v>123.66666666666666</v>
      </c>
    </row>
    <row r="234" spans="1:8" s="243" customFormat="1">
      <c r="A234" s="209"/>
      <c r="B234" s="392" t="s">
        <v>606</v>
      </c>
      <c r="C234" s="392"/>
      <c r="D234" s="392"/>
      <c r="E234" s="392"/>
      <c r="F234" s="392"/>
      <c r="G234" s="392"/>
      <c r="H234" s="319">
        <f>SUM(H231:H233)</f>
        <v>130.91006666666667</v>
      </c>
    </row>
    <row r="235" spans="1:8" s="243" customFormat="1">
      <c r="A235" s="209"/>
      <c r="B235" s="329"/>
      <c r="C235" s="329"/>
      <c r="D235" s="329"/>
      <c r="E235" s="329"/>
      <c r="F235" s="329"/>
      <c r="G235" s="329"/>
      <c r="H235" s="168"/>
    </row>
    <row r="236" spans="1:8" s="243" customFormat="1" ht="51">
      <c r="A236" s="209"/>
      <c r="B236" s="246" t="s">
        <v>25</v>
      </c>
      <c r="C236" s="246" t="s">
        <v>412</v>
      </c>
      <c r="D236" s="286" t="s">
        <v>413</v>
      </c>
      <c r="E236" s="287" t="s">
        <v>647</v>
      </c>
      <c r="F236" s="246"/>
      <c r="G236" s="246"/>
      <c r="H236" s="246"/>
    </row>
    <row r="237" spans="1:8" s="243" customFormat="1" ht="25.5">
      <c r="A237" s="209"/>
      <c r="B237" s="343" t="s">
        <v>7</v>
      </c>
      <c r="C237" s="249" t="s">
        <v>616</v>
      </c>
      <c r="D237" s="344" t="s">
        <v>9</v>
      </c>
      <c r="E237" s="289" t="s">
        <v>617</v>
      </c>
      <c r="F237" s="290" t="s">
        <v>618</v>
      </c>
      <c r="G237" s="291" t="s">
        <v>648</v>
      </c>
      <c r="H237" s="291" t="s">
        <v>606</v>
      </c>
    </row>
    <row r="238" spans="1:8" s="243" customFormat="1">
      <c r="A238" s="209"/>
      <c r="B238" s="327" t="s">
        <v>661</v>
      </c>
      <c r="C238" s="251" t="s">
        <v>19</v>
      </c>
      <c r="D238" s="276" t="s">
        <v>662</v>
      </c>
      <c r="E238" s="321" t="s">
        <v>21</v>
      </c>
      <c r="F238" s="322">
        <v>0.12</v>
      </c>
      <c r="G238" s="307">
        <v>20.71</v>
      </c>
      <c r="H238" s="362">
        <f>F238*G238</f>
        <v>2.4851999999999999</v>
      </c>
    </row>
    <row r="239" spans="1:8" s="243" customFormat="1" ht="25.5">
      <c r="A239" s="209"/>
      <c r="B239" s="327" t="s">
        <v>663</v>
      </c>
      <c r="C239" s="251" t="s">
        <v>19</v>
      </c>
      <c r="D239" s="276" t="s">
        <v>664</v>
      </c>
      <c r="E239" s="321" t="s">
        <v>21</v>
      </c>
      <c r="F239" s="322">
        <v>0.12</v>
      </c>
      <c r="G239" s="307">
        <v>17.23</v>
      </c>
      <c r="H239" s="322">
        <f>F239*G239</f>
        <v>2.0676000000000001</v>
      </c>
    </row>
    <row r="240" spans="1:8" s="243" customFormat="1" ht="38.25">
      <c r="A240" s="209"/>
      <c r="B240" s="327" t="s">
        <v>773</v>
      </c>
      <c r="C240" s="251" t="s">
        <v>19</v>
      </c>
      <c r="D240" s="276" t="s">
        <v>774</v>
      </c>
      <c r="E240" s="263" t="s">
        <v>113</v>
      </c>
      <c r="F240" s="361">
        <v>1</v>
      </c>
      <c r="G240" s="362">
        <v>16.09</v>
      </c>
      <c r="H240" s="362">
        <f>F240*G240</f>
        <v>16.09</v>
      </c>
    </row>
    <row r="241" spans="1:8" s="243" customFormat="1">
      <c r="A241" s="209"/>
      <c r="B241" s="392" t="s">
        <v>606</v>
      </c>
      <c r="C241" s="392"/>
      <c r="D241" s="392"/>
      <c r="E241" s="392"/>
      <c r="F241" s="392"/>
      <c r="G241" s="392"/>
      <c r="H241" s="319">
        <f>SUM(H238:H240)</f>
        <v>20.642800000000001</v>
      </c>
    </row>
    <row r="242" spans="1:8" s="243" customFormat="1">
      <c r="A242" s="209"/>
      <c r="B242" s="329"/>
      <c r="C242" s="329"/>
      <c r="D242" s="329"/>
      <c r="E242" s="329"/>
      <c r="F242" s="329"/>
      <c r="G242" s="329"/>
      <c r="H242" s="168"/>
    </row>
    <row r="243" spans="1:8" s="243" customFormat="1" ht="25.5">
      <c r="A243" s="244" t="s">
        <v>429</v>
      </c>
      <c r="B243" s="246" t="s">
        <v>25</v>
      </c>
      <c r="C243" s="246" t="s">
        <v>423</v>
      </c>
      <c r="D243" s="363" t="s">
        <v>424</v>
      </c>
      <c r="E243" s="246"/>
      <c r="F243" s="246"/>
      <c r="G243" s="246"/>
      <c r="H243" s="246"/>
    </row>
    <row r="244" spans="1:8" s="243" customFormat="1">
      <c r="A244" s="244"/>
      <c r="B244" s="249" t="s">
        <v>7</v>
      </c>
      <c r="C244" s="249" t="s">
        <v>616</v>
      </c>
      <c r="D244" s="249" t="s">
        <v>9</v>
      </c>
      <c r="E244" s="364" t="s">
        <v>617</v>
      </c>
      <c r="F244" s="364" t="s">
        <v>618</v>
      </c>
      <c r="G244" s="364" t="s">
        <v>619</v>
      </c>
      <c r="H244" s="364" t="s">
        <v>606</v>
      </c>
    </row>
    <row r="245" spans="1:8" s="243" customFormat="1" ht="25.5">
      <c r="A245" s="244"/>
      <c r="B245" s="251">
        <v>88267</v>
      </c>
      <c r="C245" s="251" t="s">
        <v>19</v>
      </c>
      <c r="D245" s="252" t="s">
        <v>775</v>
      </c>
      <c r="E245" s="251" t="s">
        <v>621</v>
      </c>
      <c r="F245" s="251">
        <v>0.39</v>
      </c>
      <c r="G245" s="255">
        <v>19.88</v>
      </c>
      <c r="H245" s="266">
        <f>F245*G245</f>
        <v>7.7531999999999996</v>
      </c>
    </row>
    <row r="246" spans="1:8" s="243" customFormat="1">
      <c r="A246" s="244"/>
      <c r="B246" s="251">
        <v>88316</v>
      </c>
      <c r="C246" s="251" t="s">
        <v>19</v>
      </c>
      <c r="D246" s="252" t="s">
        <v>622</v>
      </c>
      <c r="E246" s="251" t="s">
        <v>621</v>
      </c>
      <c r="F246" s="251">
        <v>0.19</v>
      </c>
      <c r="G246" s="255">
        <v>16.02</v>
      </c>
      <c r="H246" s="266">
        <f>F246*G246</f>
        <v>3.0438000000000001</v>
      </c>
    </row>
    <row r="247" spans="1:8" s="243" customFormat="1" ht="38.25">
      <c r="A247" s="244"/>
      <c r="B247" s="251">
        <v>4351</v>
      </c>
      <c r="C247" s="251" t="s">
        <v>19</v>
      </c>
      <c r="D247" s="252" t="s">
        <v>776</v>
      </c>
      <c r="E247" s="251" t="s">
        <v>777</v>
      </c>
      <c r="F247" s="251">
        <v>2</v>
      </c>
      <c r="G247" s="255">
        <v>15.48</v>
      </c>
      <c r="H247" s="266">
        <f>F247*G247</f>
        <v>30.96</v>
      </c>
    </row>
    <row r="248" spans="1:8" s="243" customFormat="1" ht="25.5">
      <c r="A248" s="244"/>
      <c r="B248" s="251">
        <v>36521</v>
      </c>
      <c r="C248" s="251" t="s">
        <v>19</v>
      </c>
      <c r="D248" s="252" t="s">
        <v>424</v>
      </c>
      <c r="E248" s="251" t="s">
        <v>777</v>
      </c>
      <c r="F248" s="251">
        <v>1</v>
      </c>
      <c r="G248" s="255">
        <v>148.56</v>
      </c>
      <c r="H248" s="266">
        <f>F248*G248</f>
        <v>148.56</v>
      </c>
    </row>
    <row r="249" spans="1:8" s="243" customFormat="1">
      <c r="A249" s="244"/>
      <c r="B249" s="251">
        <v>37329</v>
      </c>
      <c r="C249" s="251" t="s">
        <v>19</v>
      </c>
      <c r="D249" s="252" t="s">
        <v>778</v>
      </c>
      <c r="E249" s="251" t="s">
        <v>625</v>
      </c>
      <c r="F249" s="251">
        <v>5.0700000000000002E-2</v>
      </c>
      <c r="G249" s="255">
        <v>123.67</v>
      </c>
      <c r="H249" s="266">
        <f>F249*G249</f>
        <v>6.2700690000000003</v>
      </c>
    </row>
    <row r="250" spans="1:8" s="243" customFormat="1">
      <c r="A250" s="244"/>
      <c r="B250" s="245" t="s">
        <v>633</v>
      </c>
      <c r="C250" s="245"/>
      <c r="D250" s="245"/>
      <c r="E250" s="245"/>
      <c r="F250" s="245"/>
      <c r="G250" s="245"/>
      <c r="H250" s="262">
        <f>SUM(H245:H249)</f>
        <v>196.58706900000001</v>
      </c>
    </row>
    <row r="251" spans="1:8" s="243" customFormat="1"/>
    <row r="252" spans="1:8" s="243" customFormat="1" ht="25.5">
      <c r="A252" s="244"/>
      <c r="B252" s="246" t="s">
        <v>25</v>
      </c>
      <c r="C252" s="246" t="s">
        <v>558</v>
      </c>
      <c r="D252" s="365" t="s">
        <v>779</v>
      </c>
      <c r="E252" s="246" t="s">
        <v>647</v>
      </c>
      <c r="F252" s="246"/>
      <c r="G252" s="246"/>
      <c r="H252" s="246"/>
    </row>
    <row r="253" spans="1:8" s="243" customFormat="1">
      <c r="A253" s="244"/>
      <c r="B253" s="297" t="s">
        <v>7</v>
      </c>
      <c r="C253" s="297" t="s">
        <v>616</v>
      </c>
      <c r="D253" s="297" t="s">
        <v>9</v>
      </c>
      <c r="E253" s="297" t="s">
        <v>617</v>
      </c>
      <c r="F253" s="297" t="s">
        <v>618</v>
      </c>
      <c r="G253" s="297" t="s">
        <v>619</v>
      </c>
      <c r="H253" s="297" t="s">
        <v>606</v>
      </c>
    </row>
    <row r="254" spans="1:8" s="243" customFormat="1">
      <c r="A254" s="244"/>
      <c r="B254" s="366">
        <v>88309</v>
      </c>
      <c r="C254" s="251" t="s">
        <v>19</v>
      </c>
      <c r="D254" s="280" t="s">
        <v>638</v>
      </c>
      <c r="E254" s="367" t="s">
        <v>621</v>
      </c>
      <c r="F254" s="368">
        <v>0.5</v>
      </c>
      <c r="G254" s="369">
        <v>19.98</v>
      </c>
      <c r="H254" s="370">
        <f>F254*G254</f>
        <v>9.99</v>
      </c>
    </row>
    <row r="255" spans="1:8" s="243" customFormat="1">
      <c r="A255" s="244"/>
      <c r="B255" s="366">
        <v>88316</v>
      </c>
      <c r="C255" s="251" t="s">
        <v>19</v>
      </c>
      <c r="D255" s="280" t="s">
        <v>622</v>
      </c>
      <c r="E255" s="367" t="s">
        <v>621</v>
      </c>
      <c r="F255" s="368">
        <v>1</v>
      </c>
      <c r="G255" s="369">
        <v>16.02</v>
      </c>
      <c r="H255" s="370">
        <f>F255*G255</f>
        <v>16.02</v>
      </c>
    </row>
    <row r="256" spans="1:8" s="243" customFormat="1" ht="25.5">
      <c r="A256" s="244"/>
      <c r="B256" s="283">
        <v>34723</v>
      </c>
      <c r="C256" s="251" t="s">
        <v>19</v>
      </c>
      <c r="D256" s="276" t="s">
        <v>779</v>
      </c>
      <c r="E256" s="371" t="s">
        <v>28</v>
      </c>
      <c r="F256" s="371">
        <v>0.38</v>
      </c>
      <c r="G256" s="372">
        <v>1027.96</v>
      </c>
      <c r="H256" s="370">
        <f>F256*G256</f>
        <v>390.62479999999999</v>
      </c>
    </row>
    <row r="257" spans="1:8" s="243" customFormat="1" ht="25.5">
      <c r="A257" s="244"/>
      <c r="B257" s="283">
        <v>4491</v>
      </c>
      <c r="C257" s="251" t="s">
        <v>19</v>
      </c>
      <c r="D257" s="276" t="s">
        <v>780</v>
      </c>
      <c r="E257" s="371" t="s">
        <v>113</v>
      </c>
      <c r="F257" s="371">
        <v>1.6</v>
      </c>
      <c r="G257" s="372">
        <v>9.9499999999999993</v>
      </c>
      <c r="H257" s="370">
        <f>F257*G257</f>
        <v>15.92</v>
      </c>
    </row>
    <row r="258" spans="1:8" s="243" customFormat="1" ht="38.25">
      <c r="A258" s="244"/>
      <c r="B258" s="283">
        <v>94974</v>
      </c>
      <c r="C258" s="251" t="s">
        <v>19</v>
      </c>
      <c r="D258" s="276" t="s">
        <v>781</v>
      </c>
      <c r="E258" s="371" t="s">
        <v>59</v>
      </c>
      <c r="F258" s="371">
        <v>0.2</v>
      </c>
      <c r="G258" s="372">
        <v>454.53</v>
      </c>
      <c r="H258" s="370">
        <f>F258*G258</f>
        <v>90.906000000000006</v>
      </c>
    </row>
    <row r="259" spans="1:8" s="243" customFormat="1">
      <c r="A259" s="244"/>
      <c r="B259" s="391" t="s">
        <v>633</v>
      </c>
      <c r="C259" s="391"/>
      <c r="D259" s="391"/>
      <c r="E259" s="391"/>
      <c r="F259" s="391"/>
      <c r="G259" s="391"/>
      <c r="H259" s="262">
        <f>SUM(H254:H258)</f>
        <v>523.46080000000006</v>
      </c>
    </row>
    <row r="260" spans="1:8" s="243" customFormat="1">
      <c r="A260" s="244"/>
      <c r="B260" s="209"/>
      <c r="C260" s="209"/>
      <c r="D260" s="373"/>
      <c r="E260" s="209"/>
      <c r="F260" s="209"/>
      <c r="G260" s="268"/>
      <c r="H260" s="268"/>
    </row>
    <row r="261" spans="1:8" s="243" customFormat="1" ht="25.5">
      <c r="A261" s="244"/>
      <c r="B261" s="246" t="s">
        <v>25</v>
      </c>
      <c r="C261" s="246" t="s">
        <v>567</v>
      </c>
      <c r="D261" s="365" t="s">
        <v>782</v>
      </c>
      <c r="E261" s="246" t="s">
        <v>783</v>
      </c>
      <c r="F261" s="246"/>
      <c r="G261" s="246"/>
      <c r="H261" s="246"/>
    </row>
    <row r="262" spans="1:8" s="243" customFormat="1">
      <c r="A262" s="244"/>
      <c r="B262" s="101" t="s">
        <v>7</v>
      </c>
      <c r="C262" s="101" t="s">
        <v>616</v>
      </c>
      <c r="D262" s="101" t="s">
        <v>9</v>
      </c>
      <c r="E262" s="101" t="s">
        <v>617</v>
      </c>
      <c r="F262" s="101" t="s">
        <v>618</v>
      </c>
      <c r="G262" s="101" t="s">
        <v>619</v>
      </c>
      <c r="H262" s="101" t="s">
        <v>606</v>
      </c>
    </row>
    <row r="263" spans="1:8" s="243" customFormat="1">
      <c r="A263" s="244"/>
      <c r="B263" s="366">
        <v>88309</v>
      </c>
      <c r="C263" s="251" t="s">
        <v>19</v>
      </c>
      <c r="D263" s="280" t="s">
        <v>638</v>
      </c>
      <c r="E263" s="374" t="s">
        <v>621</v>
      </c>
      <c r="F263" s="251">
        <v>0.28999999999999998</v>
      </c>
      <c r="G263" s="369">
        <v>19.98</v>
      </c>
      <c r="H263" s="255">
        <f t="shared" ref="H263:H268" si="3">F263*G263</f>
        <v>5.7942</v>
      </c>
    </row>
    <row r="264" spans="1:8" s="243" customFormat="1">
      <c r="A264" s="244"/>
      <c r="B264" s="366">
        <v>88316</v>
      </c>
      <c r="C264" s="251" t="s">
        <v>19</v>
      </c>
      <c r="D264" s="280" t="s">
        <v>622</v>
      </c>
      <c r="E264" s="374" t="s">
        <v>621</v>
      </c>
      <c r="F264" s="251">
        <v>0.28999999999999998</v>
      </c>
      <c r="G264" s="369">
        <v>16.02</v>
      </c>
      <c r="H264" s="255">
        <f t="shared" si="3"/>
        <v>4.6457999999999995</v>
      </c>
    </row>
    <row r="265" spans="1:8" s="243" customFormat="1" ht="25.5">
      <c r="A265" s="244"/>
      <c r="B265" s="375">
        <v>34348</v>
      </c>
      <c r="C265" s="251" t="s">
        <v>19</v>
      </c>
      <c r="D265" s="376" t="s">
        <v>782</v>
      </c>
      <c r="E265" s="253" t="s">
        <v>32</v>
      </c>
      <c r="F265" s="251">
        <v>1</v>
      </c>
      <c r="G265" s="255">
        <v>25.61</v>
      </c>
      <c r="H265" s="255">
        <f t="shared" si="3"/>
        <v>25.61</v>
      </c>
    </row>
    <row r="266" spans="1:8" s="243" customFormat="1">
      <c r="A266" s="244"/>
      <c r="B266" s="377">
        <v>34349</v>
      </c>
      <c r="C266" s="251" t="s">
        <v>19</v>
      </c>
      <c r="D266" s="376" t="s">
        <v>784</v>
      </c>
      <c r="E266" s="253" t="s">
        <v>32</v>
      </c>
      <c r="F266" s="251">
        <v>0.5</v>
      </c>
      <c r="G266" s="378">
        <v>31.35</v>
      </c>
      <c r="H266" s="255">
        <f t="shared" si="3"/>
        <v>15.675000000000001</v>
      </c>
    </row>
    <row r="267" spans="1:8" s="243" customFormat="1" ht="25.5">
      <c r="A267" s="244"/>
      <c r="B267" s="379">
        <v>90438</v>
      </c>
      <c r="C267" s="257" t="s">
        <v>19</v>
      </c>
      <c r="D267" s="380" t="s">
        <v>785</v>
      </c>
      <c r="E267" s="259" t="s">
        <v>32</v>
      </c>
      <c r="F267" s="257">
        <v>0.125</v>
      </c>
      <c r="G267" s="381">
        <v>38.590000000000003</v>
      </c>
      <c r="H267" s="255">
        <f t="shared" si="3"/>
        <v>4.8237500000000004</v>
      </c>
    </row>
    <row r="268" spans="1:8" s="243" customFormat="1" ht="25.5">
      <c r="A268" s="244"/>
      <c r="B268" s="377">
        <v>94974</v>
      </c>
      <c r="C268" s="251" t="s">
        <v>19</v>
      </c>
      <c r="D268" s="376" t="s">
        <v>786</v>
      </c>
      <c r="E268" s="253" t="s">
        <v>59</v>
      </c>
      <c r="F268" s="251">
        <v>0.16300000000000001</v>
      </c>
      <c r="G268" s="378">
        <v>454.73</v>
      </c>
      <c r="H268" s="382">
        <f t="shared" si="3"/>
        <v>74.120990000000006</v>
      </c>
    </row>
    <row r="269" spans="1:8" s="243" customFormat="1">
      <c r="A269" s="244"/>
      <c r="B269" s="393" t="s">
        <v>633</v>
      </c>
      <c r="C269" s="393"/>
      <c r="D269" s="393"/>
      <c r="E269" s="393"/>
      <c r="F269" s="393"/>
      <c r="G269" s="393"/>
      <c r="H269" s="383">
        <f>SUM(H263:H268)</f>
        <v>130.66973999999999</v>
      </c>
    </row>
    <row r="270" spans="1:8" s="243" customFormat="1">
      <c r="A270" s="244"/>
      <c r="B270" s="209"/>
      <c r="C270" s="209"/>
      <c r="D270" s="373"/>
      <c r="E270" s="209"/>
      <c r="F270" s="209"/>
      <c r="G270" s="268"/>
      <c r="H270" s="268"/>
    </row>
    <row r="271" spans="1:8" s="243" customFormat="1" ht="38.25">
      <c r="A271" s="244"/>
      <c r="B271" s="246" t="s">
        <v>25</v>
      </c>
      <c r="C271" s="246" t="s">
        <v>590</v>
      </c>
      <c r="D271" s="365" t="s">
        <v>787</v>
      </c>
      <c r="E271" s="246" t="s">
        <v>783</v>
      </c>
      <c r="F271" s="246"/>
      <c r="G271" s="246"/>
      <c r="H271" s="246"/>
    </row>
    <row r="272" spans="1:8" s="243" customFormat="1">
      <c r="A272" s="244"/>
      <c r="B272" s="101" t="s">
        <v>7</v>
      </c>
      <c r="C272" s="101" t="s">
        <v>616</v>
      </c>
      <c r="D272" s="101" t="s">
        <v>9</v>
      </c>
      <c r="E272" s="101" t="s">
        <v>617</v>
      </c>
      <c r="F272" s="101" t="s">
        <v>618</v>
      </c>
      <c r="G272" s="101" t="s">
        <v>619</v>
      </c>
      <c r="H272" s="101" t="s">
        <v>606</v>
      </c>
    </row>
    <row r="273" spans="1:8" s="243" customFormat="1">
      <c r="A273" s="244"/>
      <c r="B273" s="384">
        <v>88309</v>
      </c>
      <c r="C273" s="368" t="s">
        <v>19</v>
      </c>
      <c r="D273" s="280" t="s">
        <v>638</v>
      </c>
      <c r="E273" s="374" t="s">
        <v>621</v>
      </c>
      <c r="F273" s="251">
        <v>5</v>
      </c>
      <c r="G273" s="369">
        <v>19.98</v>
      </c>
      <c r="H273" s="255">
        <f>F273*G273</f>
        <v>99.9</v>
      </c>
    </row>
    <row r="274" spans="1:8" s="243" customFormat="1">
      <c r="A274" s="244"/>
      <c r="B274" s="384">
        <v>88316</v>
      </c>
      <c r="C274" s="368" t="s">
        <v>19</v>
      </c>
      <c r="D274" s="280" t="s">
        <v>622</v>
      </c>
      <c r="E274" s="374" t="s">
        <v>621</v>
      </c>
      <c r="F274" s="251">
        <v>5</v>
      </c>
      <c r="G274" s="369">
        <v>16.02</v>
      </c>
      <c r="H274" s="255">
        <f>F274*G274</f>
        <v>80.099999999999994</v>
      </c>
    </row>
    <row r="275" spans="1:8" s="243" customFormat="1" ht="51">
      <c r="A275" s="244"/>
      <c r="B275" s="269">
        <v>100748</v>
      </c>
      <c r="C275" s="368" t="s">
        <v>19</v>
      </c>
      <c r="D275" s="385" t="s">
        <v>788</v>
      </c>
      <c r="E275" s="253" t="s">
        <v>28</v>
      </c>
      <c r="F275" s="386">
        <v>5.18</v>
      </c>
      <c r="G275" s="387">
        <v>8.8800000000000008</v>
      </c>
      <c r="H275" s="255">
        <f>F275*G275</f>
        <v>45.998400000000004</v>
      </c>
    </row>
    <row r="276" spans="1:8" s="243" customFormat="1" ht="25.5">
      <c r="A276" s="244"/>
      <c r="B276" s="388">
        <v>11964</v>
      </c>
      <c r="C276" s="368" t="s">
        <v>19</v>
      </c>
      <c r="D276" s="389" t="s">
        <v>789</v>
      </c>
      <c r="E276" s="253" t="s">
        <v>32</v>
      </c>
      <c r="F276" s="386">
        <v>24</v>
      </c>
      <c r="G276" s="387">
        <v>2.58</v>
      </c>
      <c r="H276" s="255">
        <f>F276*G276</f>
        <v>61.92</v>
      </c>
    </row>
    <row r="277" spans="1:8" s="243" customFormat="1" ht="25.5">
      <c r="A277" s="244"/>
      <c r="B277" s="390"/>
      <c r="C277" s="368" t="s">
        <v>634</v>
      </c>
      <c r="D277" s="376" t="s">
        <v>790</v>
      </c>
      <c r="E277" s="253" t="s">
        <v>32</v>
      </c>
      <c r="F277" s="386">
        <v>1</v>
      </c>
      <c r="G277" s="387">
        <v>1619.12</v>
      </c>
      <c r="H277" s="255">
        <f>F277*G277</f>
        <v>1619.12</v>
      </c>
    </row>
    <row r="278" spans="1:8" s="243" customFormat="1">
      <c r="A278" s="244"/>
      <c r="B278" s="393" t="s">
        <v>633</v>
      </c>
      <c r="C278" s="393"/>
      <c r="D278" s="393"/>
      <c r="E278" s="393"/>
      <c r="F278" s="393"/>
      <c r="G278" s="393"/>
      <c r="H278" s="383">
        <f>SUM(H273:H277)</f>
        <v>1907.0383999999999</v>
      </c>
    </row>
    <row r="279" spans="1:8" s="243" customFormat="1">
      <c r="A279" s="244"/>
      <c r="B279" s="209"/>
      <c r="C279" s="209"/>
      <c r="D279" s="373"/>
      <c r="E279" s="209"/>
      <c r="F279" s="209"/>
      <c r="G279" s="268"/>
      <c r="H279" s="268"/>
    </row>
    <row r="280" spans="1:8" s="243" customFormat="1">
      <c r="A280" s="244"/>
      <c r="B280" s="209"/>
      <c r="C280" s="209"/>
      <c r="D280" s="373"/>
      <c r="E280" s="209"/>
      <c r="F280" s="209"/>
      <c r="G280" s="268"/>
      <c r="H280" s="268"/>
    </row>
    <row r="281" spans="1:8" s="243" customFormat="1">
      <c r="A281" s="244"/>
      <c r="B281" s="209"/>
      <c r="C281" s="209"/>
      <c r="D281" s="373"/>
      <c r="E281" s="209"/>
      <c r="F281" s="209"/>
      <c r="G281" s="268"/>
      <c r="H281" s="268"/>
    </row>
    <row r="282" spans="1:8" s="243" customFormat="1">
      <c r="A282" s="244"/>
      <c r="B282" s="209"/>
      <c r="C282" s="209"/>
      <c r="D282" s="373"/>
      <c r="E282" s="209"/>
      <c r="F282" s="209"/>
      <c r="G282" s="268"/>
      <c r="H282" s="268"/>
    </row>
    <row r="283" spans="1:8" s="243" customFormat="1">
      <c r="A283" s="244"/>
      <c r="B283" s="209"/>
      <c r="C283" s="209"/>
      <c r="D283" s="373"/>
      <c r="E283" s="209"/>
      <c r="F283" s="209"/>
      <c r="G283" s="268"/>
      <c r="H283" s="268"/>
    </row>
    <row r="284" spans="1:8" s="243" customFormat="1">
      <c r="A284" s="244"/>
      <c r="B284" s="209"/>
      <c r="C284" s="209"/>
      <c r="D284" s="373"/>
      <c r="E284" s="209"/>
      <c r="F284" s="209"/>
      <c r="G284" s="268"/>
      <c r="H284" s="268"/>
    </row>
    <row r="285" spans="1:8" s="243" customFormat="1">
      <c r="A285" s="244"/>
      <c r="B285" s="209"/>
      <c r="C285" s="209"/>
      <c r="D285" s="373"/>
      <c r="E285" s="209"/>
      <c r="F285" s="209"/>
      <c r="G285" s="268"/>
      <c r="H285" s="268"/>
    </row>
    <row r="286" spans="1:8" s="243" customFormat="1">
      <c r="A286" s="244"/>
      <c r="B286" s="209"/>
      <c r="C286" s="209"/>
      <c r="D286" s="373"/>
      <c r="E286" s="209"/>
      <c r="F286" s="209"/>
      <c r="G286" s="268"/>
      <c r="H286" s="268"/>
    </row>
    <row r="287" spans="1:8" s="243" customFormat="1">
      <c r="A287" s="244"/>
      <c r="B287" s="209"/>
      <c r="C287" s="209"/>
      <c r="D287" s="373"/>
      <c r="E287" s="209"/>
      <c r="F287" s="209"/>
      <c r="G287" s="268"/>
      <c r="H287" s="268"/>
    </row>
    <row r="288" spans="1:8" s="243" customFormat="1">
      <c r="A288" s="244"/>
      <c r="B288" s="209"/>
      <c r="C288" s="209"/>
      <c r="D288" s="373"/>
      <c r="E288" s="209"/>
      <c r="F288" s="209"/>
      <c r="G288" s="268"/>
      <c r="H288" s="268"/>
    </row>
    <row r="289" spans="1:8" s="243" customFormat="1">
      <c r="A289" s="244"/>
      <c r="B289" s="209"/>
      <c r="C289" s="209"/>
      <c r="D289" s="373"/>
      <c r="E289" s="209"/>
      <c r="F289" s="209"/>
      <c r="G289" s="268"/>
      <c r="H289" s="268"/>
    </row>
    <row r="290" spans="1:8" s="243" customFormat="1">
      <c r="A290" s="244"/>
      <c r="B290" s="209"/>
    </row>
    <row r="291" spans="1:8" s="243" customFormat="1">
      <c r="A291" s="244"/>
      <c r="B291" s="209"/>
      <c r="C291" s="209"/>
      <c r="D291" s="373"/>
      <c r="E291" s="209"/>
      <c r="F291" s="209"/>
      <c r="G291" s="268"/>
      <c r="H291" s="268"/>
    </row>
    <row r="292" spans="1:8" s="243" customFormat="1">
      <c r="A292" s="244"/>
      <c r="B292" s="209"/>
      <c r="C292" s="209"/>
      <c r="D292" s="373"/>
      <c r="E292" s="209"/>
      <c r="F292" s="209"/>
      <c r="G292" s="268"/>
      <c r="H292" s="268"/>
    </row>
    <row r="293" spans="1:8" s="243" customFormat="1">
      <c r="A293" s="244"/>
      <c r="B293" s="209"/>
      <c r="C293" s="209"/>
      <c r="D293" s="373"/>
      <c r="E293" s="209"/>
      <c r="F293" s="209"/>
      <c r="G293" s="268"/>
      <c r="H293" s="268"/>
    </row>
    <row r="294" spans="1:8" s="243" customFormat="1">
      <c r="A294" s="244"/>
      <c r="B294" s="209"/>
      <c r="C294" s="209"/>
      <c r="D294" s="373"/>
      <c r="E294" s="209"/>
      <c r="F294" s="209"/>
      <c r="G294" s="268"/>
      <c r="H294" s="268"/>
    </row>
    <row r="295" spans="1:8" s="243" customFormat="1">
      <c r="A295" s="244"/>
      <c r="B295" s="209"/>
      <c r="C295" s="209"/>
      <c r="D295" s="373"/>
      <c r="E295" s="209"/>
      <c r="F295" s="209"/>
      <c r="G295" s="268"/>
      <c r="H295" s="268"/>
    </row>
    <row r="296" spans="1:8" s="243" customFormat="1">
      <c r="A296" s="244"/>
      <c r="B296" s="209"/>
      <c r="C296" s="209"/>
      <c r="D296" s="373"/>
      <c r="E296" s="209"/>
      <c r="F296" s="209"/>
      <c r="G296" s="268"/>
      <c r="H296" s="268"/>
    </row>
    <row r="297" spans="1:8" s="243" customFormat="1">
      <c r="A297" s="244"/>
      <c r="B297" s="209"/>
      <c r="C297" s="209"/>
      <c r="D297" s="373"/>
      <c r="E297" s="209"/>
      <c r="F297" s="209"/>
      <c r="G297" s="268"/>
      <c r="H297" s="268"/>
    </row>
    <row r="298" spans="1:8" s="243" customFormat="1">
      <c r="A298" s="244"/>
      <c r="B298" s="209"/>
      <c r="C298" s="209"/>
      <c r="D298" s="373"/>
      <c r="E298" s="209"/>
      <c r="F298" s="209"/>
      <c r="G298" s="268"/>
      <c r="H298" s="268"/>
    </row>
    <row r="299" spans="1:8" s="243" customFormat="1">
      <c r="A299" s="244"/>
      <c r="B299" s="209"/>
      <c r="C299" s="209"/>
      <c r="D299" s="373"/>
      <c r="E299" s="209"/>
      <c r="F299" s="209"/>
      <c r="G299" s="268"/>
      <c r="H299" s="268"/>
    </row>
    <row r="300" spans="1:8" s="243" customFormat="1">
      <c r="A300" s="244"/>
    </row>
    <row r="301" spans="1:8" s="243" customFormat="1">
      <c r="A301" s="244"/>
    </row>
    <row r="302" spans="1:8" s="243" customFormat="1">
      <c r="A302" s="244"/>
    </row>
    <row r="303" spans="1:8" s="243" customFormat="1">
      <c r="A303" s="244"/>
    </row>
    <row r="304" spans="1:8" s="243" customFormat="1">
      <c r="A304" s="244"/>
    </row>
    <row r="305" spans="1:8" s="243" customFormat="1">
      <c r="A305" s="244"/>
    </row>
    <row r="306" spans="1:8" s="243" customFormat="1">
      <c r="A306" s="37"/>
      <c r="B306" s="209"/>
      <c r="C306" s="209"/>
      <c r="D306" s="209"/>
      <c r="E306" s="209"/>
      <c r="F306" s="209"/>
      <c r="G306" s="209"/>
      <c r="H306" s="209"/>
    </row>
    <row r="307" spans="1:8" s="243" customFormat="1">
      <c r="A307" s="37"/>
      <c r="B307" s="209"/>
      <c r="C307" s="209"/>
      <c r="D307" s="209"/>
      <c r="E307" s="209"/>
      <c r="F307" s="209"/>
      <c r="G307" s="209"/>
      <c r="H307" s="209"/>
    </row>
    <row r="308" spans="1:8" s="243" customFormat="1">
      <c r="A308" s="37"/>
      <c r="B308" s="209"/>
      <c r="C308" s="209"/>
      <c r="D308" s="209"/>
      <c r="E308" s="209"/>
      <c r="F308" s="209"/>
      <c r="G308" s="209"/>
      <c r="H308" s="209"/>
    </row>
    <row r="309" spans="1:8" s="243" customFormat="1">
      <c r="A309" s="244"/>
      <c r="B309" s="209"/>
      <c r="C309" s="209"/>
      <c r="D309" s="373"/>
      <c r="E309" s="209"/>
      <c r="F309" s="209"/>
      <c r="G309" s="268"/>
      <c r="H309" s="268"/>
    </row>
    <row r="310" spans="1:8" s="243" customFormat="1">
      <c r="A310" s="244"/>
      <c r="B310" s="209"/>
      <c r="C310" s="209"/>
      <c r="D310" s="373"/>
      <c r="E310" s="209"/>
      <c r="F310" s="209"/>
      <c r="G310" s="268"/>
      <c r="H310" s="268"/>
    </row>
    <row r="311" spans="1:8" s="243" customFormat="1">
      <c r="A311" s="244"/>
      <c r="B311" s="209"/>
      <c r="C311" s="209"/>
      <c r="D311" s="373"/>
      <c r="E311" s="209"/>
      <c r="F311" s="209"/>
      <c r="G311" s="268"/>
      <c r="H311" s="268"/>
    </row>
    <row r="312" spans="1:8" s="243" customFormat="1">
      <c r="A312" s="244"/>
      <c r="B312" s="209"/>
      <c r="C312" s="209"/>
      <c r="D312" s="373"/>
      <c r="E312" s="209"/>
      <c r="F312" s="209"/>
      <c r="G312" s="268"/>
      <c r="H312" s="268"/>
    </row>
    <row r="313" spans="1:8" s="243" customFormat="1">
      <c r="A313" s="244"/>
      <c r="B313" s="209"/>
      <c r="C313" s="209"/>
      <c r="D313" s="373"/>
      <c r="E313" s="209"/>
      <c r="F313" s="209"/>
      <c r="G313" s="268"/>
      <c r="H313" s="268"/>
    </row>
    <row r="314" spans="1:8" s="243" customFormat="1">
      <c r="A314" s="244"/>
      <c r="B314" s="209"/>
      <c r="C314" s="209"/>
      <c r="D314" s="373"/>
      <c r="E314" s="209"/>
      <c r="F314" s="209"/>
      <c r="G314" s="268"/>
      <c r="H314" s="268"/>
    </row>
    <row r="315" spans="1:8" s="243" customFormat="1">
      <c r="A315" s="244"/>
      <c r="B315" s="209"/>
      <c r="C315" s="209"/>
      <c r="D315" s="373"/>
      <c r="E315" s="209"/>
      <c r="F315" s="209"/>
      <c r="G315" s="268"/>
      <c r="H315" s="268"/>
    </row>
    <row r="316" spans="1:8" s="243" customFormat="1">
      <c r="A316" s="244"/>
      <c r="B316" s="209"/>
      <c r="C316" s="209"/>
      <c r="D316" s="373"/>
      <c r="E316" s="209"/>
      <c r="F316" s="209"/>
      <c r="G316" s="268"/>
      <c r="H316" s="268"/>
    </row>
    <row r="317" spans="1:8" s="243" customFormat="1">
      <c r="A317" s="244"/>
      <c r="B317" s="209"/>
      <c r="C317" s="209"/>
      <c r="D317" s="373"/>
      <c r="E317" s="209"/>
      <c r="F317" s="209"/>
      <c r="G317" s="268"/>
      <c r="H317" s="268"/>
    </row>
    <row r="318" spans="1:8" s="243" customFormat="1">
      <c r="A318" s="244"/>
      <c r="B318" s="209"/>
      <c r="C318" s="209"/>
      <c r="D318" s="373"/>
      <c r="E318" s="209"/>
      <c r="F318" s="209"/>
      <c r="G318" s="268"/>
      <c r="H318" s="268"/>
    </row>
    <row r="319" spans="1:8" s="243" customFormat="1">
      <c r="A319" s="244"/>
      <c r="B319" s="209"/>
      <c r="C319" s="209"/>
      <c r="D319" s="373"/>
      <c r="E319" s="209"/>
      <c r="F319" s="209"/>
      <c r="G319" s="268"/>
      <c r="H319" s="268"/>
    </row>
    <row r="320" spans="1:8" s="243" customFormat="1">
      <c r="A320" s="244"/>
      <c r="B320" s="209"/>
      <c r="C320" s="209"/>
      <c r="D320" s="373"/>
      <c r="E320" s="209"/>
      <c r="F320" s="209"/>
      <c r="G320" s="268"/>
      <c r="H320" s="268"/>
    </row>
    <row r="321" spans="1:8" s="243" customFormat="1">
      <c r="A321" s="244"/>
      <c r="B321" s="209"/>
      <c r="C321" s="209"/>
      <c r="D321" s="373"/>
      <c r="E321" s="209"/>
      <c r="F321" s="209"/>
      <c r="G321" s="268"/>
      <c r="H321" s="268"/>
    </row>
    <row r="322" spans="1:8" s="243" customFormat="1">
      <c r="A322" s="244"/>
      <c r="B322" s="209"/>
      <c r="C322" s="209"/>
      <c r="D322" s="373"/>
      <c r="E322" s="209"/>
      <c r="F322" s="209"/>
      <c r="G322" s="268"/>
      <c r="H322" s="268"/>
    </row>
    <row r="323" spans="1:8" s="243" customFormat="1">
      <c r="A323" s="244"/>
      <c r="B323" s="209"/>
      <c r="C323" s="209"/>
      <c r="D323" s="373"/>
      <c r="E323" s="209"/>
      <c r="F323" s="209"/>
      <c r="G323" s="268"/>
      <c r="H323" s="268"/>
    </row>
    <row r="324" spans="1:8" s="243" customFormat="1">
      <c r="A324" s="244"/>
      <c r="B324" s="209"/>
      <c r="C324" s="209"/>
      <c r="D324" s="373"/>
      <c r="E324" s="209"/>
      <c r="F324" s="209"/>
      <c r="G324" s="268"/>
      <c r="H324" s="268"/>
    </row>
    <row r="325" spans="1:8" s="243" customFormat="1">
      <c r="A325" s="244"/>
      <c r="B325" s="209"/>
      <c r="C325" s="209"/>
      <c r="D325" s="373"/>
      <c r="E325" s="209"/>
      <c r="F325" s="209"/>
      <c r="G325" s="268"/>
      <c r="H325" s="268"/>
    </row>
    <row r="326" spans="1:8" s="243" customFormat="1">
      <c r="A326" s="244"/>
      <c r="B326" s="209"/>
      <c r="C326" s="209"/>
      <c r="D326" s="373"/>
      <c r="E326" s="209"/>
      <c r="F326" s="209"/>
      <c r="G326" s="268"/>
      <c r="H326" s="268"/>
    </row>
    <row r="327" spans="1:8" s="243" customFormat="1">
      <c r="A327" s="244"/>
      <c r="B327" s="209"/>
      <c r="C327" s="209"/>
      <c r="D327" s="373"/>
      <c r="E327" s="209"/>
      <c r="F327" s="209"/>
      <c r="G327" s="268"/>
      <c r="H327" s="268"/>
    </row>
    <row r="328" spans="1:8" s="243" customFormat="1">
      <c r="A328" s="244"/>
      <c r="B328" s="209"/>
      <c r="C328" s="209"/>
      <c r="D328" s="373"/>
      <c r="E328" s="209"/>
      <c r="F328" s="209"/>
      <c r="G328" s="268"/>
      <c r="H328" s="268"/>
    </row>
    <row r="329" spans="1:8" s="243" customFormat="1">
      <c r="A329" s="244"/>
      <c r="B329" s="209"/>
      <c r="C329" s="209"/>
      <c r="D329" s="373"/>
      <c r="E329" s="209"/>
      <c r="F329" s="209"/>
      <c r="G329" s="268"/>
      <c r="H329" s="268"/>
    </row>
    <row r="330" spans="1:8" s="243" customFormat="1">
      <c r="A330" s="244"/>
      <c r="B330" s="209"/>
      <c r="C330" s="209"/>
      <c r="D330" s="373"/>
      <c r="E330" s="209"/>
      <c r="F330" s="209"/>
      <c r="G330" s="268"/>
      <c r="H330" s="268"/>
    </row>
    <row r="331" spans="1:8" s="243" customFormat="1">
      <c r="A331" s="244"/>
      <c r="B331" s="209"/>
      <c r="C331" s="209"/>
      <c r="D331" s="373"/>
      <c r="E331" s="209"/>
      <c r="F331" s="209"/>
      <c r="G331" s="268"/>
      <c r="H331" s="268"/>
    </row>
    <row r="332" spans="1:8" s="243" customFormat="1">
      <c r="A332" s="244"/>
      <c r="B332" s="209"/>
      <c r="C332" s="209"/>
      <c r="D332" s="373"/>
      <c r="E332" s="209"/>
      <c r="F332" s="209"/>
      <c r="G332" s="268"/>
      <c r="H332" s="268"/>
    </row>
    <row r="333" spans="1:8" s="243" customFormat="1">
      <c r="A333" s="244"/>
      <c r="B333" s="209"/>
      <c r="C333" s="209"/>
      <c r="D333" s="373"/>
      <c r="E333" s="209"/>
      <c r="F333" s="209"/>
      <c r="G333" s="268"/>
      <c r="H333" s="268"/>
    </row>
    <row r="334" spans="1:8" s="243" customFormat="1">
      <c r="A334" s="244"/>
      <c r="B334" s="209"/>
      <c r="C334" s="209"/>
      <c r="D334" s="373"/>
      <c r="E334" s="209"/>
      <c r="F334" s="209"/>
      <c r="G334" s="268"/>
      <c r="H334" s="268"/>
    </row>
    <row r="335" spans="1:8" s="243" customFormat="1">
      <c r="A335" s="244"/>
      <c r="B335" s="209"/>
      <c r="C335" s="209"/>
      <c r="D335" s="373"/>
      <c r="E335" s="209"/>
      <c r="F335" s="209"/>
      <c r="G335" s="268"/>
      <c r="H335" s="268"/>
    </row>
    <row r="336" spans="1:8" s="243" customFormat="1">
      <c r="A336" s="244"/>
      <c r="B336" s="209"/>
      <c r="C336" s="209"/>
      <c r="D336" s="373"/>
      <c r="E336" s="209"/>
      <c r="F336" s="209"/>
      <c r="G336" s="268"/>
      <c r="H336" s="268"/>
    </row>
    <row r="337" spans="1:8" s="243" customFormat="1">
      <c r="A337" s="244"/>
      <c r="B337" s="209"/>
      <c r="C337" s="209"/>
      <c r="D337" s="373"/>
      <c r="E337" s="209"/>
      <c r="F337" s="209"/>
      <c r="G337" s="268"/>
      <c r="H337" s="268"/>
    </row>
    <row r="338" spans="1:8" s="243" customFormat="1">
      <c r="A338" s="244"/>
      <c r="B338" s="209"/>
      <c r="C338" s="209"/>
      <c r="D338" s="373"/>
      <c r="E338" s="209"/>
      <c r="F338" s="209"/>
      <c r="G338" s="268"/>
      <c r="H338" s="268"/>
    </row>
    <row r="339" spans="1:8" s="243" customFormat="1">
      <c r="A339" s="244"/>
      <c r="B339" s="209"/>
      <c r="C339" s="209"/>
      <c r="D339" s="373"/>
      <c r="E339" s="209"/>
      <c r="F339" s="209"/>
      <c r="G339" s="268"/>
      <c r="H339" s="268"/>
    </row>
    <row r="340" spans="1:8" s="243" customFormat="1">
      <c r="A340" s="244"/>
      <c r="B340" s="209"/>
      <c r="C340" s="209"/>
      <c r="D340" s="373"/>
      <c r="E340" s="209"/>
      <c r="F340" s="209"/>
      <c r="G340" s="268"/>
      <c r="H340" s="268"/>
    </row>
    <row r="341" spans="1:8" s="243" customFormat="1">
      <c r="A341" s="244"/>
      <c r="B341" s="209"/>
      <c r="C341" s="209"/>
      <c r="D341" s="373"/>
      <c r="E341" s="209"/>
      <c r="F341" s="209"/>
      <c r="G341" s="268"/>
      <c r="H341" s="268"/>
    </row>
    <row r="342" spans="1:8" s="243" customFormat="1">
      <c r="A342" s="244"/>
      <c r="B342" s="209"/>
      <c r="C342" s="209"/>
      <c r="D342" s="373"/>
      <c r="E342" s="209"/>
      <c r="F342" s="209"/>
      <c r="G342" s="268"/>
      <c r="H342" s="268"/>
    </row>
    <row r="343" spans="1:8" s="243" customFormat="1">
      <c r="A343" s="244"/>
      <c r="B343" s="209"/>
      <c r="C343" s="209"/>
      <c r="D343" s="373"/>
      <c r="E343" s="209"/>
      <c r="F343" s="209"/>
      <c r="G343" s="268"/>
      <c r="H343" s="268"/>
    </row>
    <row r="344" spans="1:8" s="243" customFormat="1">
      <c r="A344" s="244"/>
      <c r="B344" s="209"/>
      <c r="C344" s="209"/>
      <c r="D344" s="373"/>
      <c r="E344" s="209"/>
      <c r="F344" s="209"/>
      <c r="G344" s="268"/>
      <c r="H344" s="268"/>
    </row>
    <row r="345" spans="1:8" s="243" customFormat="1">
      <c r="A345" s="244"/>
      <c r="B345" s="209"/>
      <c r="C345" s="209"/>
      <c r="D345" s="373"/>
      <c r="E345" s="209"/>
      <c r="F345" s="209"/>
      <c r="G345" s="268"/>
      <c r="H345" s="268"/>
    </row>
    <row r="346" spans="1:8" s="243" customFormat="1">
      <c r="A346" s="244"/>
      <c r="B346" s="209"/>
      <c r="C346" s="209"/>
      <c r="D346" s="373"/>
      <c r="E346" s="209"/>
      <c r="F346" s="209"/>
      <c r="G346" s="268"/>
      <c r="H346" s="268"/>
    </row>
    <row r="347" spans="1:8" s="243" customFormat="1">
      <c r="A347" s="244"/>
      <c r="B347" s="209"/>
      <c r="C347" s="209"/>
      <c r="D347" s="373"/>
      <c r="E347" s="209"/>
      <c r="F347" s="209"/>
      <c r="G347" s="268"/>
      <c r="H347" s="268"/>
    </row>
    <row r="348" spans="1:8" s="243" customFormat="1">
      <c r="A348" s="244"/>
      <c r="B348" s="209"/>
      <c r="C348" s="209"/>
      <c r="D348" s="373"/>
      <c r="E348" s="209"/>
      <c r="F348" s="209"/>
      <c r="G348" s="268"/>
      <c r="H348" s="268"/>
    </row>
    <row r="349" spans="1:8" s="243" customFormat="1">
      <c r="A349" s="244"/>
      <c r="B349" s="209"/>
      <c r="C349" s="209"/>
      <c r="D349" s="373"/>
      <c r="E349" s="209"/>
      <c r="F349" s="209"/>
      <c r="G349" s="268"/>
      <c r="H349" s="268"/>
    </row>
    <row r="350" spans="1:8" s="243" customFormat="1">
      <c r="A350" s="244"/>
      <c r="B350" s="209"/>
      <c r="C350" s="209"/>
      <c r="D350" s="373"/>
      <c r="E350" s="209"/>
      <c r="F350" s="209"/>
      <c r="G350" s="268"/>
      <c r="H350" s="268"/>
    </row>
    <row r="351" spans="1:8" s="243" customFormat="1">
      <c r="A351" s="244"/>
      <c r="B351" s="209"/>
      <c r="C351" s="209"/>
      <c r="D351" s="373"/>
      <c r="E351" s="209"/>
      <c r="F351" s="209"/>
      <c r="G351" s="268"/>
      <c r="H351" s="268"/>
    </row>
    <row r="352" spans="1:8" s="243" customFormat="1">
      <c r="A352" s="244"/>
      <c r="B352" s="209"/>
      <c r="C352" s="209"/>
      <c r="D352" s="373"/>
      <c r="E352" s="209"/>
      <c r="F352" s="209"/>
      <c r="G352" s="268"/>
      <c r="H352" s="268"/>
    </row>
    <row r="353" spans="1:8" s="243" customFormat="1">
      <c r="A353" s="244"/>
      <c r="B353" s="209"/>
      <c r="C353" s="209"/>
      <c r="D353" s="373"/>
      <c r="E353" s="209"/>
      <c r="F353" s="209"/>
      <c r="G353" s="268"/>
      <c r="H353" s="268"/>
    </row>
    <row r="354" spans="1:8" s="243" customFormat="1">
      <c r="A354" s="244"/>
      <c r="B354" s="209"/>
      <c r="C354" s="209"/>
      <c r="D354" s="373"/>
      <c r="E354" s="209"/>
      <c r="F354" s="209"/>
      <c r="G354" s="268"/>
      <c r="H354" s="268"/>
    </row>
    <row r="355" spans="1:8" s="243" customFormat="1">
      <c r="A355" s="244"/>
      <c r="B355" s="209"/>
      <c r="C355" s="209"/>
      <c r="D355" s="373"/>
      <c r="E355" s="209"/>
      <c r="F355" s="209"/>
      <c r="G355" s="268"/>
      <c r="H355" s="268"/>
    </row>
    <row r="356" spans="1:8" s="243" customFormat="1">
      <c r="A356" s="244"/>
      <c r="B356" s="209"/>
      <c r="C356" s="209"/>
      <c r="D356" s="373"/>
      <c r="E356" s="209"/>
      <c r="F356" s="209"/>
      <c r="G356" s="268"/>
      <c r="H356" s="268"/>
    </row>
    <row r="357" spans="1:8" s="243" customFormat="1">
      <c r="A357" s="244"/>
      <c r="B357" s="209"/>
      <c r="C357" s="209"/>
      <c r="D357" s="373"/>
      <c r="E357" s="209"/>
      <c r="F357" s="209"/>
      <c r="G357" s="268"/>
      <c r="H357" s="268"/>
    </row>
    <row r="358" spans="1:8" s="243" customFormat="1">
      <c r="A358" s="244"/>
      <c r="B358" s="209"/>
      <c r="C358" s="209"/>
      <c r="D358" s="373"/>
      <c r="E358" s="209"/>
      <c r="F358" s="209"/>
      <c r="G358" s="268"/>
      <c r="H358" s="268"/>
    </row>
    <row r="359" spans="1:8" s="243" customFormat="1">
      <c r="A359" s="244"/>
      <c r="B359" s="209"/>
      <c r="C359" s="209"/>
      <c r="D359" s="373"/>
      <c r="E359" s="209"/>
      <c r="F359" s="209"/>
      <c r="G359" s="268"/>
      <c r="H359" s="268"/>
    </row>
    <row r="360" spans="1:8" s="243" customFormat="1">
      <c r="A360" s="244"/>
      <c r="B360" s="209"/>
      <c r="C360" s="209"/>
      <c r="D360" s="373"/>
      <c r="E360" s="209"/>
      <c r="F360" s="209"/>
      <c r="G360" s="268"/>
      <c r="H360" s="268"/>
    </row>
    <row r="361" spans="1:8" s="243" customFormat="1">
      <c r="A361" s="244"/>
      <c r="B361" s="209"/>
      <c r="C361" s="209"/>
      <c r="D361" s="373"/>
      <c r="E361" s="209"/>
      <c r="F361" s="209"/>
      <c r="G361" s="268"/>
      <c r="H361" s="268"/>
    </row>
    <row r="362" spans="1:8" s="243" customFormat="1">
      <c r="A362" s="244"/>
      <c r="B362" s="209"/>
      <c r="C362" s="209"/>
      <c r="D362" s="373"/>
      <c r="E362" s="209"/>
      <c r="F362" s="209"/>
      <c r="G362" s="268"/>
      <c r="H362" s="268"/>
    </row>
    <row r="363" spans="1:8" s="243" customFormat="1">
      <c r="A363" s="244"/>
      <c r="B363" s="209"/>
      <c r="C363" s="209"/>
      <c r="D363" s="373"/>
      <c r="E363" s="209"/>
      <c r="F363" s="209"/>
      <c r="G363" s="268"/>
      <c r="H363" s="268"/>
    </row>
    <row r="364" spans="1:8" s="243" customFormat="1">
      <c r="A364" s="244"/>
      <c r="B364" s="209"/>
      <c r="C364" s="209"/>
      <c r="D364" s="373"/>
      <c r="E364" s="209"/>
      <c r="F364" s="209"/>
      <c r="G364" s="268"/>
      <c r="H364" s="268"/>
    </row>
    <row r="365" spans="1:8" s="243" customFormat="1">
      <c r="A365" s="244"/>
      <c r="B365" s="209"/>
      <c r="C365" s="209"/>
      <c r="D365" s="373"/>
      <c r="E365" s="209"/>
      <c r="F365" s="209"/>
      <c r="G365" s="268"/>
      <c r="H365" s="268"/>
    </row>
    <row r="366" spans="1:8" s="243" customFormat="1">
      <c r="A366" s="244"/>
      <c r="B366" s="209"/>
      <c r="C366" s="209"/>
      <c r="D366" s="373"/>
      <c r="E366" s="209"/>
      <c r="F366" s="209"/>
      <c r="G366" s="268"/>
      <c r="H366" s="268"/>
    </row>
    <row r="367" spans="1:8" s="243" customFormat="1">
      <c r="A367" s="244"/>
      <c r="B367" s="209"/>
      <c r="C367" s="209"/>
      <c r="D367" s="373"/>
      <c r="E367" s="209"/>
      <c r="F367" s="209"/>
      <c r="G367" s="268"/>
      <c r="H367" s="268"/>
    </row>
    <row r="368" spans="1:8" s="243" customFormat="1">
      <c r="A368" s="244"/>
      <c r="B368" s="209"/>
      <c r="C368" s="209"/>
      <c r="D368" s="373"/>
      <c r="E368" s="209"/>
      <c r="F368" s="209"/>
      <c r="G368" s="268"/>
      <c r="H368" s="268"/>
    </row>
    <row r="369" spans="1:8" s="243" customFormat="1">
      <c r="A369" s="244"/>
      <c r="B369" s="209"/>
      <c r="C369" s="209"/>
      <c r="D369" s="373"/>
      <c r="E369" s="209"/>
      <c r="F369" s="209"/>
      <c r="G369" s="268"/>
      <c r="H369" s="268"/>
    </row>
    <row r="370" spans="1:8" s="243" customFormat="1">
      <c r="A370" s="244"/>
      <c r="B370" s="209"/>
      <c r="C370" s="209"/>
      <c r="D370" s="373"/>
      <c r="E370" s="209"/>
      <c r="F370" s="209"/>
      <c r="G370" s="268"/>
      <c r="H370" s="268"/>
    </row>
    <row r="371" spans="1:8" s="243" customFormat="1">
      <c r="A371" s="244"/>
      <c r="B371" s="209"/>
      <c r="C371" s="209"/>
      <c r="D371" s="373"/>
      <c r="E371" s="209"/>
      <c r="F371" s="209"/>
      <c r="G371" s="268"/>
      <c r="H371" s="268"/>
    </row>
    <row r="372" spans="1:8" s="243" customFormat="1">
      <c r="A372" s="244"/>
      <c r="B372" s="209"/>
      <c r="C372" s="209"/>
      <c r="D372" s="373"/>
      <c r="E372" s="209"/>
      <c r="F372" s="209"/>
      <c r="G372" s="268"/>
      <c r="H372" s="268"/>
    </row>
    <row r="373" spans="1:8" s="243" customFormat="1">
      <c r="A373" s="244"/>
      <c r="B373" s="209"/>
      <c r="C373" s="209"/>
      <c r="D373" s="373"/>
      <c r="E373" s="209"/>
      <c r="F373" s="209"/>
      <c r="G373" s="268"/>
      <c r="H373" s="268"/>
    </row>
    <row r="374" spans="1:8" s="243" customFormat="1">
      <c r="A374" s="244"/>
      <c r="B374" s="209"/>
      <c r="C374" s="209"/>
      <c r="D374" s="209"/>
      <c r="E374" s="209"/>
      <c r="F374" s="209"/>
      <c r="G374" s="268"/>
      <c r="H374" s="268"/>
    </row>
    <row r="375" spans="1:8" s="243" customFormat="1">
      <c r="A375" s="244"/>
      <c r="B375" s="209"/>
      <c r="C375" s="209"/>
      <c r="D375" s="209"/>
      <c r="E375" s="209"/>
      <c r="F375" s="209"/>
      <c r="G375" s="268"/>
      <c r="H375" s="268"/>
    </row>
    <row r="376" spans="1:8" s="243" customFormat="1">
      <c r="A376" s="244"/>
      <c r="B376" s="209"/>
      <c r="C376" s="209"/>
      <c r="D376" s="209"/>
      <c r="E376" s="209"/>
      <c r="F376" s="209"/>
      <c r="G376" s="268"/>
      <c r="H376" s="268"/>
    </row>
    <row r="377" spans="1:8" s="243" customFormat="1">
      <c r="A377" s="244"/>
      <c r="B377" s="209"/>
      <c r="C377" s="209"/>
      <c r="D377" s="209"/>
      <c r="E377" s="209"/>
      <c r="F377" s="209"/>
      <c r="G377" s="268"/>
      <c r="H377" s="268"/>
    </row>
    <row r="378" spans="1:8" s="243" customFormat="1">
      <c r="A378" s="244"/>
      <c r="B378" s="209"/>
      <c r="C378" s="209"/>
      <c r="D378" s="209"/>
      <c r="E378" s="209"/>
      <c r="F378" s="209"/>
      <c r="G378" s="268"/>
      <c r="H378" s="268"/>
    </row>
    <row r="379" spans="1:8" s="243" customFormat="1">
      <c r="A379" s="244"/>
      <c r="B379" s="209"/>
      <c r="C379" s="209"/>
      <c r="D379" s="209"/>
      <c r="E379" s="209"/>
      <c r="F379" s="209"/>
      <c r="G379" s="268"/>
      <c r="H379" s="268"/>
    </row>
    <row r="380" spans="1:8" s="243" customFormat="1">
      <c r="A380" s="244"/>
      <c r="B380" s="209"/>
      <c r="C380" s="209"/>
      <c r="D380" s="209"/>
      <c r="E380" s="209"/>
      <c r="F380" s="209"/>
      <c r="G380" s="268"/>
      <c r="H380" s="268"/>
    </row>
    <row r="381" spans="1:8" s="243" customFormat="1">
      <c r="A381" s="244"/>
      <c r="B381" s="209"/>
      <c r="C381" s="209"/>
      <c r="D381" s="209"/>
      <c r="E381" s="209"/>
      <c r="F381" s="209"/>
      <c r="G381" s="268"/>
      <c r="H381" s="268"/>
    </row>
    <row r="382" spans="1:8" s="243" customFormat="1">
      <c r="A382" s="244"/>
      <c r="B382" s="209"/>
      <c r="C382" s="209"/>
      <c r="D382" s="209"/>
      <c r="E382" s="209"/>
      <c r="F382" s="209"/>
      <c r="G382" s="268"/>
      <c r="H382" s="268"/>
    </row>
    <row r="383" spans="1:8" s="243" customFormat="1">
      <c r="A383" s="244"/>
      <c r="B383" s="209"/>
      <c r="C383" s="209"/>
      <c r="D383" s="209"/>
      <c r="E383" s="209"/>
      <c r="F383" s="209"/>
      <c r="G383" s="268"/>
      <c r="H383" s="268"/>
    </row>
    <row r="384" spans="1:8" s="243" customFormat="1">
      <c r="A384" s="244"/>
      <c r="B384" s="209"/>
      <c r="C384" s="209"/>
      <c r="D384" s="209"/>
      <c r="E384" s="209"/>
      <c r="F384" s="209"/>
      <c r="G384" s="268"/>
      <c r="H384" s="268"/>
    </row>
    <row r="385" spans="1:8" s="243" customFormat="1">
      <c r="A385" s="244"/>
      <c r="B385" s="209"/>
      <c r="C385" s="209"/>
      <c r="D385" s="209"/>
      <c r="E385" s="209"/>
      <c r="F385" s="209"/>
      <c r="G385" s="268"/>
      <c r="H385" s="268"/>
    </row>
    <row r="386" spans="1:8" s="243" customFormat="1">
      <c r="A386" s="244"/>
      <c r="B386" s="209"/>
      <c r="C386" s="209"/>
      <c r="D386" s="209"/>
      <c r="E386" s="209"/>
      <c r="F386" s="209"/>
      <c r="G386" s="268"/>
      <c r="H386" s="268"/>
    </row>
    <row r="387" spans="1:8" s="243" customFormat="1">
      <c r="A387" s="244"/>
      <c r="B387" s="209"/>
      <c r="C387" s="209"/>
      <c r="D387" s="209"/>
      <c r="E387" s="209"/>
      <c r="F387" s="209"/>
      <c r="G387" s="268"/>
      <c r="H387" s="268"/>
    </row>
    <row r="388" spans="1:8" s="243" customFormat="1">
      <c r="A388" s="244"/>
      <c r="B388" s="209"/>
      <c r="C388" s="209"/>
      <c r="D388" s="209"/>
      <c r="E388" s="209"/>
      <c r="F388" s="209"/>
      <c r="G388" s="268"/>
      <c r="H388" s="268"/>
    </row>
    <row r="389" spans="1:8" s="243" customFormat="1">
      <c r="A389" s="244"/>
      <c r="B389" s="209"/>
      <c r="C389" s="209"/>
      <c r="D389" s="209"/>
      <c r="E389" s="209"/>
      <c r="F389" s="209"/>
      <c r="G389" s="268"/>
      <c r="H389" s="268"/>
    </row>
    <row r="390" spans="1:8" s="243" customFormat="1">
      <c r="A390" s="244"/>
      <c r="B390" s="209"/>
      <c r="C390" s="209"/>
      <c r="D390" s="209"/>
      <c r="E390" s="209"/>
      <c r="F390" s="209"/>
      <c r="G390" s="268"/>
      <c r="H390" s="268"/>
    </row>
    <row r="391" spans="1:8" s="243" customFormat="1">
      <c r="A391" s="244"/>
      <c r="B391" s="209"/>
      <c r="C391" s="209"/>
      <c r="D391" s="209"/>
      <c r="E391" s="209"/>
      <c r="F391" s="209"/>
      <c r="G391" s="268"/>
      <c r="H391" s="268"/>
    </row>
    <row r="392" spans="1:8" s="243" customFormat="1">
      <c r="A392" s="244"/>
      <c r="B392" s="209"/>
      <c r="C392" s="209"/>
      <c r="D392" s="209"/>
      <c r="E392" s="209"/>
      <c r="F392" s="209"/>
      <c r="G392" s="268"/>
      <c r="H392" s="268"/>
    </row>
    <row r="393" spans="1:8" s="243" customFormat="1">
      <c r="A393" s="244"/>
      <c r="B393" s="209"/>
      <c r="C393" s="209"/>
      <c r="D393" s="209"/>
      <c r="E393" s="209"/>
      <c r="F393" s="209"/>
      <c r="G393" s="268"/>
      <c r="H393" s="268"/>
    </row>
    <row r="394" spans="1:8" s="243" customFormat="1">
      <c r="B394" s="209"/>
      <c r="C394" s="209"/>
      <c r="D394" s="209"/>
      <c r="E394" s="209"/>
      <c r="F394" s="209"/>
      <c r="G394" s="268"/>
      <c r="H394" s="268"/>
    </row>
    <row r="395" spans="1:8" s="243" customFormat="1">
      <c r="B395" s="209"/>
      <c r="C395" s="209"/>
      <c r="D395" s="209"/>
      <c r="E395" s="209"/>
      <c r="F395" s="209"/>
      <c r="G395" s="268"/>
      <c r="H395" s="268"/>
    </row>
    <row r="396" spans="1:8" s="243" customFormat="1">
      <c r="B396" s="209"/>
      <c r="C396" s="209"/>
      <c r="D396" s="209"/>
      <c r="E396" s="209"/>
      <c r="F396" s="209"/>
      <c r="G396" s="268"/>
      <c r="H396" s="268"/>
    </row>
    <row r="397" spans="1:8" s="243" customFormat="1">
      <c r="B397" s="209"/>
      <c r="C397" s="209"/>
      <c r="D397" s="209"/>
      <c r="E397" s="209"/>
      <c r="F397" s="209"/>
      <c r="G397" s="268"/>
      <c r="H397" s="268"/>
    </row>
    <row r="398" spans="1:8" s="243" customFormat="1">
      <c r="B398" s="209"/>
      <c r="C398" s="209"/>
      <c r="D398" s="209"/>
      <c r="E398" s="209"/>
      <c r="F398" s="209"/>
      <c r="G398" s="268"/>
      <c r="H398" s="268"/>
    </row>
    <row r="399" spans="1:8" s="243" customFormat="1">
      <c r="B399" s="209"/>
      <c r="C399" s="209"/>
      <c r="D399" s="209"/>
      <c r="E399" s="209"/>
      <c r="F399" s="209"/>
      <c r="G399" s="268"/>
      <c r="H399" s="268"/>
    </row>
    <row r="400" spans="1:8" s="243" customFormat="1">
      <c r="B400" s="209"/>
      <c r="C400" s="209"/>
      <c r="D400" s="209"/>
      <c r="E400" s="209"/>
      <c r="F400" s="209"/>
      <c r="G400" s="268"/>
      <c r="H400" s="268"/>
    </row>
    <row r="401" spans="2:8" s="243" customFormat="1">
      <c r="B401" s="209"/>
      <c r="C401" s="209"/>
      <c r="D401" s="209"/>
      <c r="E401" s="209"/>
      <c r="F401" s="209"/>
      <c r="G401" s="268"/>
      <c r="H401" s="268"/>
    </row>
    <row r="402" spans="2:8" s="243" customFormat="1">
      <c r="B402" s="209"/>
      <c r="C402" s="209"/>
      <c r="D402" s="209"/>
      <c r="E402" s="209"/>
      <c r="F402" s="209"/>
      <c r="G402" s="268"/>
      <c r="H402" s="268"/>
    </row>
    <row r="403" spans="2:8" s="243" customFormat="1">
      <c r="B403" s="209"/>
      <c r="C403" s="209"/>
      <c r="D403" s="209"/>
      <c r="E403" s="209"/>
      <c r="F403" s="209"/>
      <c r="G403" s="268"/>
      <c r="H403" s="268"/>
    </row>
    <row r="404" spans="2:8" s="243" customFormat="1">
      <c r="B404" s="209"/>
      <c r="C404" s="209"/>
      <c r="D404" s="209"/>
      <c r="E404" s="209"/>
      <c r="F404" s="209"/>
      <c r="G404" s="268"/>
      <c r="H404" s="268"/>
    </row>
    <row r="405" spans="2:8" s="243" customFormat="1">
      <c r="B405" s="209"/>
      <c r="C405" s="209"/>
      <c r="D405" s="209"/>
      <c r="E405" s="209"/>
      <c r="F405" s="209"/>
      <c r="G405" s="268"/>
      <c r="H405" s="268"/>
    </row>
    <row r="406" spans="2:8" s="243" customFormat="1">
      <c r="B406" s="209"/>
      <c r="C406" s="209"/>
      <c r="D406" s="209"/>
      <c r="E406" s="209"/>
      <c r="F406" s="209"/>
      <c r="G406" s="268"/>
      <c r="H406" s="268"/>
    </row>
    <row r="407" spans="2:8" s="243" customFormat="1">
      <c r="B407" s="209"/>
      <c r="C407" s="209"/>
      <c r="D407" s="209"/>
      <c r="E407" s="209"/>
      <c r="F407" s="209"/>
      <c r="G407" s="268"/>
      <c r="H407" s="268"/>
    </row>
    <row r="408" spans="2:8" s="243" customFormat="1">
      <c r="B408" s="209"/>
      <c r="C408" s="209"/>
      <c r="D408" s="209"/>
      <c r="E408" s="209"/>
      <c r="F408" s="209"/>
      <c r="G408" s="268"/>
      <c r="H408" s="268"/>
    </row>
    <row r="409" spans="2:8" s="243" customFormat="1">
      <c r="B409" s="209"/>
      <c r="C409" s="209"/>
      <c r="D409" s="209"/>
      <c r="E409" s="209"/>
      <c r="F409" s="209"/>
      <c r="G409" s="268"/>
      <c r="H409" s="268"/>
    </row>
    <row r="410" spans="2:8" s="243" customFormat="1">
      <c r="B410" s="209"/>
      <c r="C410" s="209"/>
      <c r="D410" s="209"/>
      <c r="E410" s="209"/>
      <c r="F410" s="209"/>
      <c r="G410" s="268"/>
      <c r="H410" s="268"/>
    </row>
    <row r="411" spans="2:8" s="243" customFormat="1">
      <c r="B411" s="209"/>
      <c r="C411" s="209"/>
      <c r="D411" s="209"/>
      <c r="E411" s="209"/>
      <c r="F411" s="209"/>
      <c r="G411" s="268"/>
      <c r="H411" s="268"/>
    </row>
    <row r="412" spans="2:8" s="243" customFormat="1">
      <c r="B412" s="209"/>
      <c r="C412" s="209"/>
      <c r="D412" s="209"/>
      <c r="E412" s="209"/>
      <c r="F412" s="209"/>
      <c r="G412" s="268"/>
      <c r="H412" s="268"/>
    </row>
    <row r="413" spans="2:8" s="243" customFormat="1">
      <c r="B413" s="209"/>
      <c r="C413" s="209"/>
      <c r="D413" s="209"/>
      <c r="E413" s="209"/>
      <c r="F413" s="209"/>
      <c r="G413" s="268"/>
      <c r="H413" s="268"/>
    </row>
    <row r="414" spans="2:8" s="243" customFormat="1">
      <c r="B414" s="209"/>
      <c r="C414" s="209"/>
      <c r="D414" s="209"/>
      <c r="E414" s="209"/>
      <c r="F414" s="209"/>
      <c r="G414" s="268"/>
      <c r="H414" s="268"/>
    </row>
    <row r="415" spans="2:8" s="243" customFormat="1">
      <c r="B415" s="209"/>
      <c r="C415" s="209"/>
      <c r="D415" s="209"/>
      <c r="E415" s="209"/>
      <c r="F415" s="209"/>
      <c r="G415" s="268"/>
      <c r="H415" s="268"/>
    </row>
    <row r="416" spans="2:8" s="243" customFormat="1">
      <c r="B416" s="209"/>
      <c r="C416" s="209"/>
      <c r="D416" s="209"/>
      <c r="E416" s="209"/>
      <c r="F416" s="209"/>
      <c r="G416" s="268"/>
      <c r="H416" s="268"/>
    </row>
    <row r="417" spans="2:8" s="243" customFormat="1">
      <c r="B417" s="209"/>
      <c r="C417" s="209"/>
      <c r="D417" s="209"/>
      <c r="E417" s="209"/>
      <c r="F417" s="209"/>
      <c r="G417" s="268"/>
      <c r="H417" s="268"/>
    </row>
    <row r="418" spans="2:8" s="243" customFormat="1">
      <c r="B418" s="209"/>
      <c r="C418" s="209"/>
      <c r="D418" s="209"/>
      <c r="E418" s="209"/>
      <c r="F418" s="209"/>
      <c r="G418" s="268"/>
      <c r="H418" s="268"/>
    </row>
    <row r="419" spans="2:8" s="243" customFormat="1">
      <c r="B419" s="209"/>
      <c r="C419" s="209"/>
      <c r="D419" s="209"/>
      <c r="E419" s="209"/>
      <c r="F419" s="209"/>
      <c r="G419" s="268"/>
      <c r="H419" s="268"/>
    </row>
    <row r="420" spans="2:8" s="243" customFormat="1">
      <c r="B420" s="209"/>
      <c r="C420" s="209"/>
      <c r="D420" s="209"/>
      <c r="E420" s="209"/>
      <c r="F420" s="209"/>
      <c r="G420" s="268"/>
      <c r="H420" s="268"/>
    </row>
    <row r="421" spans="2:8" s="243" customFormat="1">
      <c r="B421" s="209"/>
      <c r="C421" s="209"/>
      <c r="D421" s="209"/>
      <c r="E421" s="209"/>
      <c r="F421" s="209"/>
      <c r="G421" s="268"/>
      <c r="H421" s="268"/>
    </row>
    <row r="422" spans="2:8" s="243" customFormat="1">
      <c r="B422" s="209"/>
      <c r="C422" s="209"/>
      <c r="D422" s="209"/>
      <c r="E422" s="209"/>
      <c r="F422" s="209"/>
      <c r="G422" s="268"/>
      <c r="H422" s="268"/>
    </row>
    <row r="423" spans="2:8" s="243" customFormat="1">
      <c r="B423" s="209"/>
      <c r="C423" s="209"/>
      <c r="D423" s="209"/>
      <c r="E423" s="209"/>
      <c r="F423" s="209"/>
      <c r="G423" s="268"/>
      <c r="H423" s="268"/>
    </row>
    <row r="424" spans="2:8" s="243" customFormat="1">
      <c r="B424" s="209"/>
      <c r="C424" s="209"/>
      <c r="D424" s="209"/>
      <c r="E424" s="209"/>
      <c r="F424" s="209"/>
      <c r="G424" s="268"/>
      <c r="H424" s="268"/>
    </row>
    <row r="425" spans="2:8" s="243" customFormat="1">
      <c r="B425" s="209"/>
      <c r="C425" s="209"/>
      <c r="D425" s="209"/>
      <c r="E425" s="209"/>
      <c r="F425" s="209"/>
      <c r="G425" s="268"/>
      <c r="H425" s="268"/>
    </row>
    <row r="426" spans="2:8" s="243" customFormat="1">
      <c r="B426" s="209"/>
      <c r="C426" s="209"/>
      <c r="D426" s="209"/>
      <c r="E426" s="209"/>
      <c r="F426" s="209"/>
      <c r="G426" s="268"/>
      <c r="H426" s="268"/>
    </row>
    <row r="427" spans="2:8" s="243" customFormat="1">
      <c r="B427" s="209"/>
      <c r="C427" s="209"/>
      <c r="D427" s="209"/>
      <c r="E427" s="209"/>
      <c r="F427" s="209"/>
      <c r="G427" s="268"/>
      <c r="H427" s="268"/>
    </row>
    <row r="428" spans="2:8" s="243" customFormat="1">
      <c r="B428" s="209"/>
      <c r="C428" s="209"/>
      <c r="D428" s="209"/>
      <c r="E428" s="209"/>
      <c r="F428" s="209"/>
      <c r="G428" s="268"/>
      <c r="H428" s="268"/>
    </row>
    <row r="429" spans="2:8" s="243" customFormat="1">
      <c r="B429" s="209"/>
      <c r="C429" s="209"/>
      <c r="D429" s="209"/>
      <c r="E429" s="209"/>
      <c r="F429" s="209"/>
      <c r="G429" s="268"/>
      <c r="H429" s="268"/>
    </row>
    <row r="430" spans="2:8" s="243" customFormat="1">
      <c r="B430" s="209"/>
      <c r="C430" s="209"/>
      <c r="D430" s="209"/>
      <c r="E430" s="209"/>
      <c r="F430" s="209"/>
      <c r="G430" s="268"/>
      <c r="H430" s="268"/>
    </row>
    <row r="431" spans="2:8" s="243" customFormat="1">
      <c r="B431" s="209"/>
      <c r="C431" s="209"/>
      <c r="D431" s="209"/>
      <c r="E431" s="209"/>
      <c r="F431" s="209"/>
      <c r="G431" s="268"/>
      <c r="H431" s="268"/>
    </row>
    <row r="432" spans="2:8" s="243" customFormat="1">
      <c r="B432" s="209"/>
      <c r="C432" s="209"/>
      <c r="D432" s="209"/>
      <c r="E432" s="209"/>
      <c r="F432" s="209"/>
      <c r="G432" s="268"/>
      <c r="H432" s="268"/>
    </row>
    <row r="433" spans="2:8" s="243" customFormat="1">
      <c r="B433" s="209"/>
      <c r="C433" s="209"/>
      <c r="D433" s="209"/>
      <c r="E433" s="209"/>
      <c r="F433" s="209"/>
      <c r="G433" s="268"/>
      <c r="H433" s="268"/>
    </row>
    <row r="434" spans="2:8" s="243" customFormat="1">
      <c r="B434" s="209"/>
      <c r="C434" s="209"/>
      <c r="D434" s="209"/>
      <c r="E434" s="209"/>
      <c r="F434" s="209"/>
      <c r="G434" s="268"/>
      <c r="H434" s="268"/>
    </row>
    <row r="435" spans="2:8" s="243" customFormat="1">
      <c r="B435" s="209"/>
      <c r="C435" s="209"/>
      <c r="D435" s="209"/>
      <c r="E435" s="209"/>
      <c r="F435" s="209"/>
      <c r="G435" s="268"/>
      <c r="H435" s="268"/>
    </row>
    <row r="436" spans="2:8" s="243" customFormat="1">
      <c r="B436" s="209"/>
      <c r="C436" s="209"/>
      <c r="D436" s="209"/>
      <c r="E436" s="209"/>
      <c r="F436" s="209"/>
      <c r="G436" s="268"/>
      <c r="H436" s="268"/>
    </row>
    <row r="437" spans="2:8" s="243" customFormat="1">
      <c r="B437" s="209"/>
      <c r="C437" s="209"/>
      <c r="D437" s="209"/>
      <c r="E437" s="209"/>
      <c r="F437" s="209"/>
      <c r="G437" s="268"/>
      <c r="H437" s="268"/>
    </row>
    <row r="438" spans="2:8" s="243" customFormat="1">
      <c r="B438" s="209"/>
      <c r="C438" s="209"/>
      <c r="D438" s="209"/>
      <c r="E438" s="209"/>
      <c r="F438" s="209"/>
      <c r="G438" s="268"/>
      <c r="H438" s="268"/>
    </row>
    <row r="439" spans="2:8" s="243" customFormat="1">
      <c r="B439" s="209"/>
      <c r="C439" s="209"/>
      <c r="D439" s="209"/>
      <c r="E439" s="209"/>
      <c r="F439" s="209"/>
      <c r="G439" s="268"/>
      <c r="H439" s="268"/>
    </row>
    <row r="440" spans="2:8" s="243" customFormat="1">
      <c r="B440" s="209"/>
      <c r="C440" s="209"/>
      <c r="D440" s="209"/>
      <c r="E440" s="209"/>
      <c r="F440" s="209"/>
      <c r="G440" s="268"/>
      <c r="H440" s="268"/>
    </row>
    <row r="441" spans="2:8" s="243" customFormat="1">
      <c r="B441" s="209"/>
      <c r="C441" s="209"/>
      <c r="D441" s="209"/>
      <c r="E441" s="209"/>
      <c r="F441" s="209"/>
      <c r="G441" s="268"/>
      <c r="H441" s="268"/>
    </row>
    <row r="442" spans="2:8" s="243" customFormat="1">
      <c r="B442" s="209"/>
      <c r="C442" s="209"/>
      <c r="D442" s="209"/>
      <c r="E442" s="209"/>
      <c r="F442" s="209"/>
      <c r="G442" s="268"/>
      <c r="H442" s="268"/>
    </row>
    <row r="443" spans="2:8" s="243" customFormat="1">
      <c r="B443" s="209"/>
      <c r="C443" s="209"/>
      <c r="D443" s="209"/>
      <c r="E443" s="209"/>
      <c r="F443" s="209"/>
      <c r="G443" s="268"/>
      <c r="H443" s="268"/>
    </row>
    <row r="444" spans="2:8" s="243" customFormat="1">
      <c r="B444" s="209"/>
      <c r="C444" s="209"/>
      <c r="D444" s="209"/>
      <c r="E444" s="209"/>
      <c r="F444" s="209"/>
      <c r="G444" s="268"/>
      <c r="H444" s="268"/>
    </row>
    <row r="445" spans="2:8" s="243" customFormat="1">
      <c r="B445" s="209"/>
      <c r="C445" s="209"/>
      <c r="D445" s="209"/>
      <c r="E445" s="209"/>
      <c r="F445" s="209"/>
      <c r="G445" s="268"/>
      <c r="H445" s="268"/>
    </row>
    <row r="446" spans="2:8" s="243" customFormat="1">
      <c r="B446" s="209"/>
      <c r="C446" s="209"/>
      <c r="D446" s="209"/>
      <c r="E446" s="209"/>
      <c r="F446" s="209"/>
      <c r="G446" s="268"/>
      <c r="H446" s="268"/>
    </row>
    <row r="447" spans="2:8" s="243" customFormat="1">
      <c r="B447" s="209"/>
      <c r="C447" s="209"/>
      <c r="D447" s="209"/>
      <c r="E447" s="209"/>
      <c r="F447" s="209"/>
      <c r="G447" s="268"/>
      <c r="H447" s="268"/>
    </row>
    <row r="448" spans="2:8" s="243" customFormat="1">
      <c r="B448" s="209"/>
      <c r="C448" s="209"/>
      <c r="D448" s="209"/>
      <c r="E448" s="209"/>
      <c r="F448" s="209"/>
      <c r="G448" s="268"/>
      <c r="H448" s="268"/>
    </row>
    <row r="449" spans="2:8" s="243" customFormat="1">
      <c r="B449" s="209"/>
      <c r="C449" s="209"/>
      <c r="D449" s="209"/>
      <c r="E449" s="209"/>
      <c r="F449" s="209"/>
      <c r="G449" s="268"/>
      <c r="H449" s="268"/>
    </row>
    <row r="450" spans="2:8" s="243" customFormat="1">
      <c r="B450" s="209"/>
      <c r="C450" s="209"/>
      <c r="D450" s="209"/>
      <c r="E450" s="209"/>
      <c r="F450" s="209"/>
      <c r="G450" s="268"/>
      <c r="H450" s="268"/>
    </row>
    <row r="451" spans="2:8" s="243" customFormat="1">
      <c r="B451" s="209"/>
      <c r="C451" s="209"/>
      <c r="D451" s="209"/>
      <c r="E451" s="209"/>
      <c r="F451" s="209"/>
      <c r="G451" s="268"/>
      <c r="H451" s="268"/>
    </row>
    <row r="452" spans="2:8" s="243" customFormat="1">
      <c r="B452" s="209"/>
      <c r="C452" s="209"/>
      <c r="D452" s="209"/>
      <c r="E452" s="209"/>
      <c r="F452" s="209"/>
      <c r="G452" s="268"/>
      <c r="H452" s="268"/>
    </row>
    <row r="453" spans="2:8" s="243" customFormat="1">
      <c r="B453" s="209"/>
      <c r="C453" s="209"/>
      <c r="D453" s="209"/>
      <c r="E453" s="209"/>
      <c r="F453" s="209"/>
      <c r="G453" s="268"/>
      <c r="H453" s="268"/>
    </row>
    <row r="454" spans="2:8" s="243" customFormat="1">
      <c r="B454" s="209"/>
      <c r="C454" s="209"/>
      <c r="D454" s="209"/>
      <c r="E454" s="209"/>
      <c r="F454" s="209"/>
      <c r="G454" s="268"/>
      <c r="H454" s="268"/>
    </row>
    <row r="455" spans="2:8" s="243" customFormat="1">
      <c r="B455" s="209"/>
      <c r="C455" s="209"/>
      <c r="D455" s="209"/>
      <c r="E455" s="209"/>
      <c r="F455" s="209"/>
      <c r="G455" s="268"/>
      <c r="H455" s="268"/>
    </row>
    <row r="456" spans="2:8" s="243" customFormat="1">
      <c r="B456" s="209"/>
      <c r="C456" s="209"/>
      <c r="D456" s="209"/>
      <c r="E456" s="209"/>
      <c r="F456" s="209"/>
      <c r="G456" s="268"/>
      <c r="H456" s="268"/>
    </row>
    <row r="457" spans="2:8" s="243" customFormat="1">
      <c r="B457" s="209"/>
      <c r="C457" s="209"/>
      <c r="D457" s="209"/>
      <c r="E457" s="209"/>
      <c r="F457" s="209"/>
      <c r="G457" s="268"/>
      <c r="H457" s="268"/>
    </row>
    <row r="458" spans="2:8" s="243" customFormat="1">
      <c r="B458" s="209"/>
      <c r="C458" s="209"/>
      <c r="D458" s="209"/>
      <c r="E458" s="209"/>
      <c r="F458" s="209"/>
      <c r="G458" s="268"/>
      <c r="H458" s="268"/>
    </row>
    <row r="459" spans="2:8" s="243" customFormat="1">
      <c r="B459" s="209"/>
      <c r="C459" s="209"/>
      <c r="D459" s="209"/>
      <c r="E459" s="209"/>
      <c r="F459" s="209"/>
      <c r="G459" s="268"/>
      <c r="H459" s="268"/>
    </row>
    <row r="460" spans="2:8" s="243" customFormat="1">
      <c r="B460" s="209"/>
      <c r="C460" s="209"/>
      <c r="D460" s="209"/>
      <c r="E460" s="209"/>
      <c r="F460" s="209"/>
      <c r="G460" s="268"/>
      <c r="H460" s="268"/>
    </row>
    <row r="461" spans="2:8" s="243" customFormat="1">
      <c r="B461" s="209"/>
      <c r="C461" s="209"/>
      <c r="D461" s="209"/>
      <c r="E461" s="209"/>
      <c r="F461" s="209"/>
      <c r="G461" s="268"/>
      <c r="H461" s="268"/>
    </row>
    <row r="462" spans="2:8" s="243" customFormat="1">
      <c r="B462" s="209"/>
      <c r="C462" s="209"/>
      <c r="D462" s="209"/>
      <c r="E462" s="209"/>
      <c r="F462" s="209"/>
      <c r="G462" s="268"/>
      <c r="H462" s="268"/>
    </row>
    <row r="463" spans="2:8" s="243" customFormat="1">
      <c r="B463" s="209"/>
      <c r="C463" s="209"/>
      <c r="D463" s="209"/>
      <c r="E463" s="209"/>
      <c r="F463" s="209"/>
      <c r="G463" s="268"/>
      <c r="H463" s="268"/>
    </row>
    <row r="464" spans="2:8" s="243" customFormat="1">
      <c r="B464" s="209"/>
      <c r="C464" s="209"/>
      <c r="D464" s="209"/>
      <c r="E464" s="209"/>
      <c r="F464" s="209"/>
      <c r="G464" s="268"/>
      <c r="H464" s="268"/>
    </row>
    <row r="465" spans="2:8" s="243" customFormat="1">
      <c r="B465" s="209"/>
      <c r="C465" s="209"/>
      <c r="D465" s="209"/>
      <c r="E465" s="209"/>
      <c r="F465" s="209"/>
      <c r="G465" s="268"/>
      <c r="H465" s="268"/>
    </row>
    <row r="466" spans="2:8" s="243" customFormat="1">
      <c r="B466" s="209"/>
      <c r="C466" s="209"/>
      <c r="D466" s="209"/>
      <c r="E466" s="209"/>
      <c r="F466" s="209"/>
      <c r="G466" s="268"/>
      <c r="H466" s="268"/>
    </row>
    <row r="467" spans="2:8" s="243" customFormat="1">
      <c r="B467" s="209"/>
      <c r="C467" s="209"/>
      <c r="D467" s="209"/>
      <c r="E467" s="209"/>
      <c r="F467" s="209"/>
      <c r="G467" s="268"/>
      <c r="H467" s="268"/>
    </row>
    <row r="468" spans="2:8" s="243" customFormat="1">
      <c r="B468" s="209"/>
      <c r="C468" s="209"/>
      <c r="D468" s="209"/>
      <c r="E468" s="209"/>
      <c r="F468" s="209"/>
      <c r="G468" s="268"/>
      <c r="H468" s="268"/>
    </row>
    <row r="469" spans="2:8" s="243" customFormat="1">
      <c r="B469" s="209"/>
      <c r="C469" s="209"/>
      <c r="D469" s="209"/>
      <c r="E469" s="209"/>
      <c r="F469" s="209"/>
      <c r="G469" s="268"/>
      <c r="H469" s="268"/>
    </row>
    <row r="470" spans="2:8" s="243" customFormat="1">
      <c r="B470" s="209"/>
      <c r="C470" s="209"/>
      <c r="D470" s="209"/>
      <c r="E470" s="209"/>
      <c r="F470" s="209"/>
      <c r="G470" s="268"/>
      <c r="H470" s="268"/>
    </row>
    <row r="471" spans="2:8" s="243" customFormat="1">
      <c r="B471" s="209"/>
      <c r="C471" s="209"/>
      <c r="D471" s="209"/>
      <c r="E471" s="209"/>
      <c r="F471" s="209"/>
      <c r="G471" s="268"/>
      <c r="H471" s="268"/>
    </row>
    <row r="472" spans="2:8" s="243" customFormat="1">
      <c r="B472" s="209"/>
      <c r="C472" s="209"/>
      <c r="D472" s="209"/>
      <c r="E472" s="209"/>
      <c r="F472" s="209"/>
      <c r="G472" s="268"/>
      <c r="H472" s="268"/>
    </row>
    <row r="473" spans="2:8" s="243" customFormat="1">
      <c r="B473" s="209"/>
      <c r="C473" s="209"/>
      <c r="D473" s="209"/>
      <c r="E473" s="209"/>
      <c r="F473" s="209"/>
      <c r="G473" s="268"/>
      <c r="H473" s="268"/>
    </row>
    <row r="474" spans="2:8" s="243" customFormat="1">
      <c r="B474" s="209"/>
      <c r="C474" s="209"/>
      <c r="D474" s="209"/>
      <c r="E474" s="209"/>
      <c r="F474" s="209"/>
      <c r="G474" s="268"/>
      <c r="H474" s="268"/>
    </row>
    <row r="475" spans="2:8" s="243" customFormat="1">
      <c r="B475" s="209"/>
      <c r="C475" s="209"/>
      <c r="D475" s="209"/>
      <c r="E475" s="209"/>
      <c r="F475" s="209"/>
      <c r="G475" s="268"/>
      <c r="H475" s="268"/>
    </row>
    <row r="476" spans="2:8" s="243" customFormat="1">
      <c r="B476" s="209"/>
      <c r="C476" s="209"/>
      <c r="D476" s="209"/>
      <c r="E476" s="209"/>
      <c r="F476" s="209"/>
      <c r="G476" s="268"/>
      <c r="H476" s="268"/>
    </row>
    <row r="477" spans="2:8" s="243" customFormat="1">
      <c r="B477" s="209"/>
      <c r="C477" s="209"/>
      <c r="D477" s="209"/>
      <c r="E477" s="209"/>
      <c r="F477" s="209"/>
      <c r="G477" s="268"/>
      <c r="H477" s="268"/>
    </row>
    <row r="478" spans="2:8" s="243" customFormat="1">
      <c r="B478" s="209"/>
      <c r="C478" s="209"/>
      <c r="D478" s="209"/>
      <c r="E478" s="209"/>
      <c r="F478" s="209"/>
      <c r="G478" s="268"/>
      <c r="H478" s="268"/>
    </row>
    <row r="479" spans="2:8" s="243" customFormat="1">
      <c r="B479" s="209"/>
      <c r="C479" s="209"/>
      <c r="D479" s="209"/>
      <c r="E479" s="209"/>
      <c r="F479" s="209"/>
      <c r="G479" s="268"/>
      <c r="H479" s="268"/>
    </row>
    <row r="480" spans="2:8" s="243" customFormat="1">
      <c r="B480" s="209"/>
      <c r="C480" s="209"/>
      <c r="D480" s="209"/>
      <c r="E480" s="209"/>
      <c r="F480" s="209"/>
      <c r="G480" s="268"/>
      <c r="H480" s="268"/>
    </row>
    <row r="481" spans="2:8" s="243" customFormat="1">
      <c r="B481" s="209"/>
      <c r="C481" s="209"/>
      <c r="D481" s="209"/>
      <c r="E481" s="209"/>
      <c r="F481" s="209"/>
      <c r="G481" s="268"/>
      <c r="H481" s="268"/>
    </row>
    <row r="482" spans="2:8" s="243" customFormat="1">
      <c r="B482" s="209"/>
      <c r="C482" s="209"/>
      <c r="D482" s="209"/>
      <c r="E482" s="209"/>
      <c r="F482" s="209"/>
      <c r="G482" s="268"/>
      <c r="H482" s="268"/>
    </row>
    <row r="483" spans="2:8" s="243" customFormat="1">
      <c r="B483" s="209"/>
      <c r="C483" s="209"/>
      <c r="D483" s="209"/>
      <c r="E483" s="209"/>
      <c r="F483" s="209"/>
      <c r="G483" s="268"/>
      <c r="H483" s="268"/>
    </row>
    <row r="484" spans="2:8" s="243" customFormat="1">
      <c r="B484" s="209"/>
      <c r="C484" s="209"/>
      <c r="D484" s="209"/>
      <c r="E484" s="209"/>
      <c r="F484" s="209"/>
      <c r="G484" s="268"/>
      <c r="H484" s="268"/>
    </row>
    <row r="485" spans="2:8" s="243" customFormat="1">
      <c r="B485" s="209"/>
      <c r="C485" s="209"/>
      <c r="D485" s="209"/>
      <c r="E485" s="209"/>
      <c r="F485" s="209"/>
      <c r="G485" s="268"/>
      <c r="H485" s="268"/>
    </row>
    <row r="486" spans="2:8" s="243" customFormat="1">
      <c r="B486" s="209"/>
      <c r="C486" s="209"/>
      <c r="D486" s="209"/>
      <c r="E486" s="209"/>
      <c r="F486" s="209"/>
      <c r="G486" s="268"/>
      <c r="H486" s="268"/>
    </row>
    <row r="487" spans="2:8" s="243" customFormat="1">
      <c r="B487" s="209"/>
      <c r="C487" s="209"/>
      <c r="D487" s="209"/>
      <c r="E487" s="209"/>
      <c r="F487" s="209"/>
      <c r="G487" s="268"/>
      <c r="H487" s="268"/>
    </row>
    <row r="488" spans="2:8" s="243" customFormat="1">
      <c r="B488" s="209"/>
      <c r="C488" s="209"/>
      <c r="D488" s="209"/>
      <c r="E488" s="209"/>
      <c r="F488" s="209"/>
      <c r="G488" s="268"/>
      <c r="H488" s="268"/>
    </row>
    <row r="489" spans="2:8" s="243" customFormat="1">
      <c r="B489" s="209"/>
      <c r="C489" s="209"/>
      <c r="D489" s="209"/>
      <c r="E489" s="209"/>
      <c r="F489" s="209"/>
      <c r="G489" s="268"/>
      <c r="H489" s="268"/>
    </row>
    <row r="490" spans="2:8" s="243" customFormat="1">
      <c r="B490" s="209"/>
      <c r="C490" s="209"/>
      <c r="D490" s="209"/>
      <c r="E490" s="209"/>
      <c r="F490" s="209"/>
      <c r="G490" s="268"/>
      <c r="H490" s="268"/>
    </row>
    <row r="491" spans="2:8" s="243" customFormat="1">
      <c r="B491" s="209"/>
      <c r="C491" s="209"/>
      <c r="D491" s="209"/>
      <c r="E491" s="209"/>
      <c r="F491" s="209"/>
      <c r="G491" s="268"/>
      <c r="H491" s="268"/>
    </row>
    <row r="492" spans="2:8" s="243" customFormat="1">
      <c r="B492" s="209"/>
      <c r="C492" s="209"/>
      <c r="D492" s="209"/>
      <c r="E492" s="209"/>
      <c r="F492" s="209"/>
      <c r="G492" s="268"/>
      <c r="H492" s="268"/>
    </row>
    <row r="493" spans="2:8" s="243" customFormat="1">
      <c r="B493" s="209"/>
      <c r="C493" s="209"/>
      <c r="D493" s="209"/>
      <c r="E493" s="209"/>
      <c r="F493" s="209"/>
      <c r="G493" s="268"/>
      <c r="H493" s="268"/>
    </row>
  </sheetData>
  <mergeCells count="28">
    <mergeCell ref="B241:G241"/>
    <mergeCell ref="B259:G259"/>
    <mergeCell ref="B269:G269"/>
    <mergeCell ref="B278:G278"/>
    <mergeCell ref="B198:G198"/>
    <mergeCell ref="B206:G206"/>
    <mergeCell ref="B213:G213"/>
    <mergeCell ref="B221:G221"/>
    <mergeCell ref="B227:G227"/>
    <mergeCell ref="B234:G234"/>
    <mergeCell ref="B151:G151"/>
    <mergeCell ref="B158:G158"/>
    <mergeCell ref="B165:G165"/>
    <mergeCell ref="B172:G172"/>
    <mergeCell ref="B179:G179"/>
    <mergeCell ref="B189:G189"/>
    <mergeCell ref="B103:G103"/>
    <mergeCell ref="B112:G112"/>
    <mergeCell ref="B121:G121"/>
    <mergeCell ref="B129:G129"/>
    <mergeCell ref="B137:G137"/>
    <mergeCell ref="B144:G144"/>
    <mergeCell ref="B3:H3"/>
    <mergeCell ref="B14:G14"/>
    <mergeCell ref="B20:G20"/>
    <mergeCell ref="B26:G26"/>
    <mergeCell ref="B86:G86"/>
    <mergeCell ref="B94:G94"/>
  </mergeCells>
  <pageMargins left="0.511811024" right="0.511811024" top="0.78740157500000008" bottom="0.78740157500000008" header="0.31496062000000008" footer="0.31496062000000008"/>
  <pageSetup paperSize="0" scale="69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orcam</vt:lpstr>
      <vt:lpstr>conograma</vt:lpstr>
      <vt:lpstr>Composições_08-22</vt:lpstr>
      <vt:lpstr>'Composições_08-22'!Area_de_impressao</vt:lpstr>
      <vt:lpstr>conograma!Area_de_impressao</vt:lpstr>
      <vt:lpstr>orcam!Area_de_impressao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DETRAN-MT</dc:creator>
  <cp:lastModifiedBy>Max de Moraes Lucidos</cp:lastModifiedBy>
  <cp:revision>1</cp:revision>
  <cp:lastPrinted>2022-08-17T17:20:26Z</cp:lastPrinted>
  <dcterms:created xsi:type="dcterms:W3CDTF">2007-09-19T14:00:04Z</dcterms:created>
  <dcterms:modified xsi:type="dcterms:W3CDTF">2022-10-17T13:09:16Z</dcterms:modified>
</cp:coreProperties>
</file>