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AFI\UN_CONTABIL\2024\BALANÇO PATRIMONIAL - 2023\2023\TRANSPARENCIA\"/>
    </mc:Choice>
  </mc:AlternateContent>
  <bookViews>
    <workbookView xWindow="705" yWindow="4485" windowWidth="19785" windowHeight="3135" tabRatio="824" activeTab="3"/>
  </bookViews>
  <sheets>
    <sheet name="BAL. PATRIMONIAL 2023" sheetId="21" r:id="rId1"/>
    <sheet name="DMPL 2023-2022" sheetId="8" r:id="rId2"/>
    <sheet name="DRE 2023-2022" sheetId="2" r:id="rId3"/>
    <sheet name="DFC 2023-2022" sheetId="17" r:id="rId4"/>
    <sheet name="CALCULO CSLL IRPJ" sheetId="18" r:id="rId5"/>
  </sheets>
  <externalReferences>
    <externalReference r:id="rId6"/>
  </externalReferences>
  <definedNames>
    <definedName name="_xlnm.Print_Area" localSheetId="0">'BAL. PATRIMONIAL 2023'!$B$2:$G$79</definedName>
    <definedName name="_xlnm.Print_Area" localSheetId="4">'CALCULO CSLL IRPJ'!$A$5:$C$19</definedName>
    <definedName name="_xlnm.Print_Area" localSheetId="3">'DFC 2023-2022'!$B$2:$E$66</definedName>
    <definedName name="_xlnm.Print_Area" localSheetId="1">'DMPL 2023-2022'!$B$2:$F$39</definedName>
    <definedName name="_xlnm.Print_Area" localSheetId="2">'DRE 2023-2022'!$A$1:$D$71</definedName>
  </definedNames>
  <calcPr calcId="162913"/>
</workbook>
</file>

<file path=xl/calcChain.xml><?xml version="1.0" encoding="utf-8"?>
<calcChain xmlns="http://schemas.openxmlformats.org/spreadsheetml/2006/main">
  <c r="F55" i="21" l="1"/>
  <c r="D47" i="17" l="1"/>
  <c r="E47" i="17"/>
  <c r="D34" i="17"/>
  <c r="E34" i="17"/>
  <c r="D16" i="17"/>
  <c r="D22" i="17" s="1"/>
  <c r="E40" i="17"/>
  <c r="E22" i="17"/>
  <c r="E20" i="17"/>
  <c r="E19" i="17"/>
  <c r="E16" i="17"/>
  <c r="E45" i="17" l="1"/>
  <c r="E44" i="17"/>
  <c r="E51" i="17"/>
  <c r="E55" i="17"/>
  <c r="E52" i="17" l="1"/>
  <c r="C40" i="2"/>
  <c r="C42" i="2"/>
  <c r="D55" i="2"/>
  <c r="D52" i="2"/>
  <c r="D25" i="2"/>
  <c r="D35" i="2"/>
  <c r="C30" i="2"/>
  <c r="C47" i="2"/>
  <c r="C35" i="2"/>
  <c r="C34" i="2" s="1"/>
  <c r="C52" i="2" s="1"/>
  <c r="C55" i="2" s="1"/>
  <c r="C26" i="2"/>
  <c r="C27" i="2"/>
  <c r="C29" i="2"/>
  <c r="C28" i="2"/>
  <c r="C25" i="2"/>
  <c r="C46" i="2"/>
  <c r="C19" i="2"/>
  <c r="C24" i="2" l="1"/>
  <c r="D47" i="2"/>
  <c r="D42" i="2" s="1"/>
  <c r="D40" i="2"/>
  <c r="D29" i="2"/>
  <c r="D28" i="2"/>
  <c r="D27" i="2"/>
  <c r="D26" i="2"/>
  <c r="D19" i="2"/>
  <c r="D18" i="2" s="1"/>
  <c r="D15" i="2"/>
  <c r="F24" i="8"/>
  <c r="C19" i="8"/>
  <c r="F18" i="8"/>
  <c r="F17" i="8"/>
  <c r="F16" i="8"/>
  <c r="F15" i="8"/>
  <c r="F14" i="8"/>
  <c r="E19" i="8"/>
  <c r="D19" i="8"/>
  <c r="B36" i="21"/>
  <c r="C26" i="21"/>
  <c r="D25" i="21"/>
  <c r="C25" i="21"/>
  <c r="F58" i="21"/>
  <c r="D24" i="2" l="1"/>
  <c r="D22" i="2"/>
  <c r="D34" i="2"/>
  <c r="D54" i="21"/>
  <c r="D41" i="21" s="1"/>
  <c r="F42" i="21"/>
  <c r="G45" i="21"/>
  <c r="F45" i="21"/>
  <c r="F41" i="21" s="1"/>
  <c r="F57" i="21"/>
  <c r="F54" i="21"/>
  <c r="F50" i="21"/>
  <c r="G50" i="21"/>
  <c r="F19" i="21"/>
  <c r="C54" i="21"/>
  <c r="G42" i="21"/>
  <c r="G41" i="21" s="1"/>
  <c r="G58" i="21"/>
  <c r="G57" i="21" s="1"/>
  <c r="G54" i="21"/>
  <c r="D42" i="21"/>
  <c r="C42" i="21"/>
  <c r="G38" i="21"/>
  <c r="F38" i="21"/>
  <c r="C36" i="21"/>
  <c r="G35" i="21"/>
  <c r="G29" i="21"/>
  <c r="G25" i="21"/>
  <c r="G21" i="21"/>
  <c r="G18" i="21"/>
  <c r="D50" i="21"/>
  <c r="D46" i="21"/>
  <c r="D38" i="21"/>
  <c r="D36" i="21"/>
  <c r="D35" i="21" s="1"/>
  <c r="D32" i="21"/>
  <c r="D29" i="21"/>
  <c r="D22" i="21"/>
  <c r="D18" i="21"/>
  <c r="D17" i="21" s="1"/>
  <c r="D32" i="2" l="1"/>
  <c r="D50" i="2"/>
  <c r="D60" i="21"/>
  <c r="G49" i="21"/>
  <c r="F49" i="21"/>
  <c r="G17" i="21"/>
  <c r="G60" i="21" s="1"/>
  <c r="D55" i="17"/>
  <c r="C18" i="2" l="1"/>
  <c r="C24" i="8"/>
  <c r="F19" i="8"/>
  <c r="F20" i="8" l="1"/>
  <c r="F23" i="8"/>
  <c r="E24" i="8"/>
  <c r="F21" i="8"/>
  <c r="D44" i="17" l="1"/>
  <c r="D51" i="17"/>
  <c r="F22" i="8" l="1"/>
  <c r="C50" i="21" l="1"/>
  <c r="C15" i="2" l="1"/>
  <c r="C50" i="2" l="1"/>
  <c r="C22" i="2"/>
  <c r="C32" i="2" l="1"/>
  <c r="D24" i="8" l="1"/>
  <c r="D45" i="17" l="1"/>
  <c r="D52" i="17" s="1"/>
  <c r="F21" i="21"/>
  <c r="F35" i="21"/>
  <c r="F29" i="21"/>
  <c r="F18" i="21"/>
  <c r="F25" i="21"/>
  <c r="F17" i="21" l="1"/>
  <c r="F60" i="21" s="1"/>
  <c r="C32" i="21" l="1"/>
  <c r="C38" i="21"/>
  <c r="C46" i="21"/>
  <c r="C35" i="21"/>
  <c r="C29" i="21"/>
  <c r="C22" i="21"/>
  <c r="C18" i="21"/>
  <c r="C17" i="21" s="1"/>
  <c r="C41" i="21" l="1"/>
  <c r="C60" i="21" l="1"/>
  <c r="G19" i="18" l="1"/>
  <c r="B9" i="18"/>
  <c r="C9" i="18"/>
  <c r="C10" i="18" s="1"/>
  <c r="C11" i="18" l="1"/>
  <c r="C14" i="18" s="1"/>
  <c r="B10" i="18"/>
  <c r="B11" i="18" l="1"/>
  <c r="B12" i="18" s="1"/>
  <c r="B15" i="18" s="1"/>
  <c r="B17" i="18" s="1"/>
  <c r="B19" i="18" s="1"/>
  <c r="C13" i="18"/>
  <c r="C15" i="18" s="1"/>
  <c r="G20" i="18" l="1"/>
  <c r="G21" i="18" s="1"/>
  <c r="C16" i="18" s="1"/>
  <c r="C17" i="18" s="1"/>
</calcChain>
</file>

<file path=xl/comments1.xml><?xml version="1.0" encoding="utf-8"?>
<comments xmlns="http://schemas.openxmlformats.org/spreadsheetml/2006/main">
  <authors>
    <author>Claudinei de Oliveira Procopio</author>
  </authors>
  <commentList>
    <comment ref="C8" authorId="0" shapeId="0">
      <text>
        <r>
          <rPr>
            <b/>
            <sz val="9"/>
            <color indexed="81"/>
            <rFont val="Segoe UI"/>
            <family val="2"/>
          </rPr>
          <t>Claudinei de Oliveira Procopio:</t>
        </r>
        <r>
          <rPr>
            <sz val="9"/>
            <color indexed="81"/>
            <rFont val="Segoe UI"/>
            <family val="2"/>
          </rPr>
          <t xml:space="preserve">
Compreende a Conta DRE 3.02.003.44 - somente as multas
</t>
        </r>
      </text>
    </comment>
  </commentList>
</comments>
</file>

<file path=xl/sharedStrings.xml><?xml version="1.0" encoding="utf-8"?>
<sst xmlns="http://schemas.openxmlformats.org/spreadsheetml/2006/main" count="222" uniqueCount="170">
  <si>
    <t>CIRCULANTE</t>
  </si>
  <si>
    <t>Disponível</t>
  </si>
  <si>
    <t>Caixa e Bancos</t>
  </si>
  <si>
    <t>Fornecedores</t>
  </si>
  <si>
    <t>Impostos e Contribuições a Recuperar</t>
  </si>
  <si>
    <t>Capital Social</t>
  </si>
  <si>
    <t>Investimentos</t>
  </si>
  <si>
    <t>Imobilizado</t>
  </si>
  <si>
    <t>Bens Móveis</t>
  </si>
  <si>
    <t>TOTAL DO ATIVO</t>
  </si>
  <si>
    <t>TOTAL DO PASSIVO</t>
  </si>
  <si>
    <t>RECEITA OPERACIONAL BRUTA</t>
  </si>
  <si>
    <t>ATIVO</t>
  </si>
  <si>
    <t>PASSIVO</t>
  </si>
  <si>
    <t>DESCRIÇÃO</t>
  </si>
  <si>
    <t xml:space="preserve">Em R$ </t>
  </si>
  <si>
    <t xml:space="preserve">DEDUÇÕES DA RECEITA BRUTA </t>
  </si>
  <si>
    <t>Em R$</t>
  </si>
  <si>
    <t>Cauções e Penhoras</t>
  </si>
  <si>
    <t>Obrigações Trabalhistas</t>
  </si>
  <si>
    <t>Lucro/Prejuízo do Exercício</t>
  </si>
  <si>
    <t>Vendas Canceladas</t>
  </si>
  <si>
    <t>Despesas Tributárias</t>
  </si>
  <si>
    <t>Despesas Depreciação e Amortização</t>
  </si>
  <si>
    <t>Despesas Financeiras</t>
  </si>
  <si>
    <t>Receitas Financeiras</t>
  </si>
  <si>
    <t>Venda de Serviços</t>
  </si>
  <si>
    <t>Participações Incentivadas</t>
  </si>
  <si>
    <t>Participações Fundo Investimento</t>
  </si>
  <si>
    <t>( - ) Depreciação Acumulada</t>
  </si>
  <si>
    <t>( - ) Amortização Acumulada</t>
  </si>
  <si>
    <t>Estoque (Almoxarifado)</t>
  </si>
  <si>
    <t>Fornecedores Diversos</t>
  </si>
  <si>
    <t>Empréstimos / Financiamento / Cauções</t>
  </si>
  <si>
    <t>Obrigações Correntes</t>
  </si>
  <si>
    <t>SEFAZ - Termo de Convênio 001/2005</t>
  </si>
  <si>
    <t>Consignações a Pagar</t>
  </si>
  <si>
    <t>Consignações</t>
  </si>
  <si>
    <t>Provisões</t>
  </si>
  <si>
    <t>Provisões Férias e Encargos Sociais</t>
  </si>
  <si>
    <t>Outras Obrigações</t>
  </si>
  <si>
    <t>Clientes</t>
  </si>
  <si>
    <t>Duplicatas a Receber</t>
  </si>
  <si>
    <t>Estoque</t>
  </si>
  <si>
    <t>Subvenção p/ Investimento</t>
  </si>
  <si>
    <t>Realizável a Longo Prazo</t>
  </si>
  <si>
    <t>Intangível</t>
  </si>
  <si>
    <t>NÃO-CIRCULANTE</t>
  </si>
  <si>
    <t>Contas a Pagar</t>
  </si>
  <si>
    <t>Softwares</t>
  </si>
  <si>
    <t>Construção Propriedades de Terceiros</t>
  </si>
  <si>
    <t>Prejuízos Acumulados</t>
  </si>
  <si>
    <t>Saldo Final Caixa/Equivalente</t>
  </si>
  <si>
    <t>VARIAÇÃO DA CONTA CAIXA/EQUIVALENTE</t>
  </si>
  <si>
    <t xml:space="preserve">FLUXO DE CAIXA DA ATIVIDADE OPERACIONAL </t>
  </si>
  <si>
    <t>Despesas que não afetam o caixa</t>
  </si>
  <si>
    <t>Sub-total</t>
  </si>
  <si>
    <t xml:space="preserve">Duplicatas a Receber </t>
  </si>
  <si>
    <t xml:space="preserve">Créditos de Funcionários </t>
  </si>
  <si>
    <t xml:space="preserve">Provisões </t>
  </si>
  <si>
    <t>Total das Atividades Operacionais</t>
  </si>
  <si>
    <t xml:space="preserve">FLUXO DE CAIXA DA ATIVIDADE DE INVESTIMENTO </t>
  </si>
  <si>
    <t>Total das Atividades de Investimentos</t>
  </si>
  <si>
    <t xml:space="preserve">( = ) VARIAÇÃO DO CAIXA E EQUIVALENTE </t>
  </si>
  <si>
    <t>NIRE: 51500000249 em 14/11/1980</t>
  </si>
  <si>
    <t>C.N.P.J.: 15.011.059/0001-52</t>
  </si>
  <si>
    <t>R$</t>
  </si>
  <si>
    <t xml:space="preserve">TOTAL                                   </t>
  </si>
  <si>
    <t xml:space="preserve">PREJUÍZOS ACUMULADOS                  </t>
  </si>
  <si>
    <t xml:space="preserve">RESERVA DE CAPITAL </t>
  </si>
  <si>
    <t xml:space="preserve">CAPITAL REALIZADO       </t>
  </si>
  <si>
    <t>Outros Créditos</t>
  </si>
  <si>
    <t>Adiantamentos Indiretos a Funcionários</t>
  </si>
  <si>
    <t>Cauções e Depósitos Judiciais</t>
  </si>
  <si>
    <t>Cauções Trabalhistas</t>
  </si>
  <si>
    <t>Imposto de Renda</t>
  </si>
  <si>
    <t>Contribuição Social</t>
  </si>
  <si>
    <t>Baixa de Imobilizado</t>
  </si>
  <si>
    <t xml:space="preserve">Adiantamento a Fornecedores </t>
  </si>
  <si>
    <t>Aquisições de Imobilizado e Intangível</t>
  </si>
  <si>
    <t>PATRIMÔNIO LÍQUIDO</t>
  </si>
  <si>
    <t xml:space="preserve"> </t>
  </si>
  <si>
    <t>Descrição</t>
  </si>
  <si>
    <t xml:space="preserve">. Adições </t>
  </si>
  <si>
    <t xml:space="preserve">. Compensação de prejuízos fiscais e bases negativas </t>
  </si>
  <si>
    <t>. Resultado tributável</t>
  </si>
  <si>
    <t>. IR s/ lucro real à alíquota 15%</t>
  </si>
  <si>
    <t>. Incentivo PAT</t>
  </si>
  <si>
    <t>. Imp. Retido na Fonte por Órgão - 2015</t>
  </si>
  <si>
    <t>CSLL</t>
  </si>
  <si>
    <t>IRPJ</t>
  </si>
  <si>
    <r>
      <t xml:space="preserve">. </t>
    </r>
    <r>
      <rPr>
        <sz val="12"/>
        <color theme="1"/>
        <rFont val="Arial Unicode MS"/>
        <family val="2"/>
      </rPr>
      <t>Contribuição Social à alíquota de 9%</t>
    </r>
  </si>
  <si>
    <t>Resultado Contábil antes do IR/CSLL</t>
  </si>
  <si>
    <t xml:space="preserve">Lucro Real </t>
  </si>
  <si>
    <t>. Adicional de 10% sobre a parc. do lucro real que excedeu o valor resultante da mult. 20.000,00 x 12.</t>
  </si>
  <si>
    <t>. Imposto Apurado - CSLL / IRPJ</t>
  </si>
  <si>
    <t>até o limete de 4% do imposto devido</t>
  </si>
  <si>
    <t>no Exemplo:</t>
  </si>
  <si>
    <t>Parcela 15%</t>
  </si>
  <si>
    <t>Apurado a base de 15% da despesa com o Programa - PAT</t>
  </si>
  <si>
    <t>3.02.002.08.016</t>
  </si>
  <si>
    <t>Imposto Renda Devido</t>
  </si>
  <si>
    <t>4% do Imp. Devido</t>
  </si>
  <si>
    <t xml:space="preserve">. Apurado Exercício 2015 </t>
  </si>
  <si>
    <t>. Provisão para Pagto</t>
  </si>
  <si>
    <t>Créditos a Receber</t>
  </si>
  <si>
    <t>Saldo Inicial Caixa/Equivalente</t>
  </si>
  <si>
    <t>Adiantamento para Despesas</t>
  </si>
  <si>
    <t xml:space="preserve">Depreciação e Amortização  </t>
  </si>
  <si>
    <t>Aplicações Financeiras</t>
  </si>
  <si>
    <t xml:space="preserve">Baixa Depreciação/Amortização Acumulada </t>
  </si>
  <si>
    <t>METODO INDIRETO</t>
  </si>
  <si>
    <t xml:space="preserve">Diarias </t>
  </si>
  <si>
    <t>Assistencia Tecnica de Equipamentos</t>
  </si>
  <si>
    <t>Licenças e Atualizações de Uso de Software</t>
  </si>
  <si>
    <t>Serviços de Comunicação/Transmissão de Dados</t>
  </si>
  <si>
    <t>Manutenção de Rede Eletrica e Lógica</t>
  </si>
  <si>
    <t>CUSTOS DOS SERVIÇOS PRESTADOS</t>
  </si>
  <si>
    <t>Termo de Ressarcimento - 001/2011</t>
  </si>
  <si>
    <t>Saldo em 31/12/2021</t>
  </si>
  <si>
    <t>Aumento de Capital Social</t>
  </si>
  <si>
    <t>Outras Despesas</t>
  </si>
  <si>
    <t>(Aumento) redução nas contas do Ativo Circulante e Ativo Não Circulante</t>
  </si>
  <si>
    <t>Aumento (redução) nas contas do Passivo Circulante e Passivo Não Circulante</t>
  </si>
  <si>
    <t>Aumento do Ativo Não Circulante</t>
  </si>
  <si>
    <t>Integralização de Capital</t>
  </si>
  <si>
    <t>Aumento do Passivo Não Circulante</t>
  </si>
  <si>
    <t>Reservas de Capital</t>
  </si>
  <si>
    <t>Subvenções para Investimentos</t>
  </si>
  <si>
    <t>2022</t>
  </si>
  <si>
    <t>Saldo em 31/12/2022</t>
  </si>
  <si>
    <t>Tributos sobre Vendas</t>
  </si>
  <si>
    <t>Honorários de Diretores e Conselhos Administrativo e Fiscal</t>
  </si>
  <si>
    <t>Obrigações Tributárias</t>
  </si>
  <si>
    <t xml:space="preserve">Emprestimos </t>
  </si>
  <si>
    <t>Tributos a Recuperar</t>
  </si>
  <si>
    <t>Emprestimos e Financiamentos</t>
  </si>
  <si>
    <t>Ajustes de Exercicios Anteriores</t>
  </si>
  <si>
    <t>Ajustes de Exercícios Anteriores</t>
  </si>
  <si>
    <t>ISSQN a Recolher</t>
  </si>
  <si>
    <t>Parcelamentos Federais</t>
  </si>
  <si>
    <t>2023</t>
  </si>
  <si>
    <t>Encargos Sociais</t>
  </si>
  <si>
    <t>Contribuições a Recolher</t>
  </si>
  <si>
    <t>IRRF a Recolher</t>
  </si>
  <si>
    <t>Capital Social Subscrito</t>
  </si>
  <si>
    <t>Capital Social a Integralizar</t>
  </si>
  <si>
    <t xml:space="preserve">Fornecedores </t>
  </si>
  <si>
    <t xml:space="preserve">     BALANÇO PATRIMONIAL EM 31 DE DEZEMBRO DE 2023 E 2022</t>
  </si>
  <si>
    <t>Fundestec - Lei 9916/2013</t>
  </si>
  <si>
    <t>Adiantamentos de Clientes</t>
  </si>
  <si>
    <t xml:space="preserve">   DEMONSTRATIVO DAS MUTAÇÕES DO PATRIMÔNIO LÍQUIDO EM 31 DE DEZEMBRO DE 2023 E 2022</t>
  </si>
  <si>
    <t>Saldo em 31/12/2023</t>
  </si>
  <si>
    <t>DEMONSTRAÇÃO DO RESULTADO DOS EXERCÍCIOS FINDOS EM 31 DE DEZEMBRO DE 2023 E 2022</t>
  </si>
  <si>
    <t>( = ) RECEITA OPERACIONAL LIQUIDA</t>
  </si>
  <si>
    <t xml:space="preserve">OUTRAS RECEITAS E DESPESAS </t>
  </si>
  <si>
    <t>( = ) RESULTADO LIQUIDO DO EXERCÍCIO</t>
  </si>
  <si>
    <t>DESPESAS GERAIS E ADMINISTRATIVAS</t>
  </si>
  <si>
    <t>Despesas Diversas</t>
  </si>
  <si>
    <t>( = ) RESULTADO OPERACIONAL BRUTO</t>
  </si>
  <si>
    <t>Subvenções do Tesouro Estadual - Custeio - Fonte 1.500.0000</t>
  </si>
  <si>
    <t>Subvenções do Tesouro Estadual - Custeio - Fonte 1.759.0000</t>
  </si>
  <si>
    <t>Demais Custos</t>
  </si>
  <si>
    <t>Folha de Pagamento e Encargos</t>
  </si>
  <si>
    <t>( = ) RESULTADO OPERACIONAL ANTES DAS SUBVENÇÕES P/ INVESTIMENTOS</t>
  </si>
  <si>
    <t>( = ) RESULTADO ANTES DO IR E CONTRIBUIÇÃO SOCIAL</t>
  </si>
  <si>
    <t>Demais Subvenções do Tesouro Estadual - Custeio - Fonte 1.501.0000</t>
  </si>
  <si>
    <t>Subvenções do Tesouro Estadual - Investimentos - Fonte 1.501.0000</t>
  </si>
  <si>
    <t>DEMONSTRAÇÃO DO FLUXO DE CAIXA PARA OS EXERCÍCIOS FINDOS EM 31 DEZEMBRO 2023 E 2022</t>
  </si>
  <si>
    <t>EMPRESA MATO-GROSSENSE DE TECNOLOGIA DA INFORMAÇÃO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</si>
</sst>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</numFmts>
  <fonts count="31">
    <font>
      <sz val="10"/>
      <name val="Arial"/>
    </font>
    <font>
      <sz val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2"/>
      <name val="Arial Unicode MS"/>
      <family val="2"/>
    </font>
    <font>
      <b/>
      <sz val="12"/>
      <color theme="1"/>
      <name val="Arial Unicode MS"/>
      <family val="2"/>
    </font>
    <font>
      <sz val="12"/>
      <color theme="1"/>
      <name val="Arial Unicode MS"/>
      <family val="2"/>
    </font>
    <font>
      <b/>
      <sz val="12"/>
      <name val="Arial Unicode MS"/>
      <family val="2"/>
    </font>
    <font>
      <sz val="10"/>
      <name val="Myriad Pro"/>
      <family val="2"/>
    </font>
    <font>
      <b/>
      <sz val="18"/>
      <name val="Myriad Pro"/>
      <family val="2"/>
    </font>
    <font>
      <b/>
      <sz val="16"/>
      <name val="Myriad Pro"/>
      <family val="2"/>
    </font>
    <font>
      <sz val="13"/>
      <name val="Myriad Pro"/>
      <family val="2"/>
    </font>
    <font>
      <sz val="12"/>
      <name val="Myriad Pro"/>
      <family val="2"/>
    </font>
    <font>
      <b/>
      <sz val="14"/>
      <name val="Myriad Pro"/>
      <family val="2"/>
    </font>
    <font>
      <b/>
      <sz val="12"/>
      <name val="Myriad Pro"/>
      <family val="2"/>
    </font>
    <font>
      <b/>
      <sz val="10"/>
      <name val="Myriad Pro"/>
      <family val="2"/>
    </font>
    <font>
      <b/>
      <sz val="12"/>
      <color rgb="FF000000"/>
      <name val="Myriad Pro"/>
      <family val="2"/>
    </font>
    <font>
      <b/>
      <sz val="13"/>
      <color rgb="FF000000"/>
      <name val="Myriad Pro"/>
      <family val="2"/>
    </font>
    <font>
      <sz val="13"/>
      <color rgb="FF000000"/>
      <name val="Myriad Pro"/>
      <family val="2"/>
    </font>
    <font>
      <sz val="14"/>
      <name val="Myriad Pro"/>
      <family val="2"/>
    </font>
    <font>
      <sz val="14.2"/>
      <name val="Myriad Pro"/>
      <family val="2"/>
    </font>
    <font>
      <b/>
      <sz val="13"/>
      <name val="Myriad Pro"/>
      <family val="2"/>
    </font>
    <font>
      <b/>
      <sz val="14.5"/>
      <name val="Myriad Pro"/>
      <family val="2"/>
    </font>
    <font>
      <sz val="14.5"/>
      <name val="Myriad Pro"/>
      <family val="2"/>
    </font>
    <font>
      <b/>
      <u val="singleAccounting"/>
      <sz val="13"/>
      <name val="Myriad Pro"/>
      <family val="2"/>
    </font>
    <font>
      <b/>
      <u/>
      <sz val="13"/>
      <color theme="0"/>
      <name val="Myriad Pro"/>
      <family val="2"/>
    </font>
    <font>
      <b/>
      <u val="singleAccounting"/>
      <sz val="13"/>
      <color theme="0"/>
      <name val="Myriad Pro"/>
      <family val="2"/>
    </font>
    <font>
      <b/>
      <sz val="14.5"/>
      <color theme="0"/>
      <name val="Myriad Pro"/>
      <family val="2"/>
    </font>
    <font>
      <b/>
      <sz val="14"/>
      <color theme="0"/>
      <name val="Myriad Pro"/>
      <family val="2"/>
    </font>
    <font>
      <b/>
      <sz val="12"/>
      <color theme="0"/>
      <name val="Myriad Pro"/>
      <family val="2"/>
    </font>
    <font>
      <b/>
      <sz val="13"/>
      <color theme="0"/>
      <name val="Myriad Pro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88">
    <xf numFmtId="0" fontId="0" fillId="0" borderId="0" xfId="0"/>
    <xf numFmtId="0" fontId="4" fillId="0" borderId="0" xfId="0" applyFont="1"/>
    <xf numFmtId="0" fontId="5" fillId="0" borderId="21" xfId="0" applyFont="1" applyBorder="1" applyAlignment="1">
      <alignment horizontal="center" vertical="center" wrapText="1"/>
    </xf>
    <xf numFmtId="165" fontId="5" fillId="0" borderId="22" xfId="2" applyFont="1" applyBorder="1" applyAlignment="1">
      <alignment horizontal="center" vertical="center" wrapText="1"/>
    </xf>
    <xf numFmtId="165" fontId="5" fillId="0" borderId="21" xfId="2" applyFont="1" applyBorder="1" applyAlignment="1">
      <alignment vertical="center" wrapText="1"/>
    </xf>
    <xf numFmtId="165" fontId="4" fillId="0" borderId="21" xfId="2" applyFont="1" applyBorder="1"/>
    <xf numFmtId="165" fontId="4" fillId="0" borderId="0" xfId="2" applyFont="1"/>
    <xf numFmtId="165" fontId="7" fillId="0" borderId="21" xfId="2" applyFont="1" applyBorder="1"/>
    <xf numFmtId="165" fontId="4" fillId="0" borderId="21" xfId="2" applyFont="1" applyBorder="1" applyAlignment="1">
      <alignment vertical="center"/>
    </xf>
    <xf numFmtId="165" fontId="4" fillId="0" borderId="21" xfId="0" applyNumberFormat="1" applyFont="1" applyBorder="1"/>
    <xf numFmtId="0" fontId="4" fillId="0" borderId="21" xfId="0" applyFont="1" applyBorder="1"/>
    <xf numFmtId="0" fontId="4" fillId="0" borderId="23" xfId="0" applyFont="1" applyBorder="1"/>
    <xf numFmtId="43" fontId="4" fillId="0" borderId="21" xfId="0" applyNumberFormat="1" applyFont="1" applyBorder="1"/>
    <xf numFmtId="165" fontId="7" fillId="0" borderId="21" xfId="0" applyNumberFormat="1" applyFont="1" applyBorder="1"/>
    <xf numFmtId="0" fontId="4" fillId="0" borderId="24" xfId="0" applyFont="1" applyBorder="1"/>
    <xf numFmtId="0" fontId="7" fillId="0" borderId="24" xfId="0" applyFont="1" applyBorder="1"/>
    <xf numFmtId="0" fontId="7" fillId="0" borderId="23" xfId="0" applyFont="1" applyBorder="1"/>
    <xf numFmtId="0" fontId="4" fillId="0" borderId="25" xfId="0" applyFont="1" applyBorder="1"/>
    <xf numFmtId="0" fontId="4" fillId="0" borderId="1" xfId="0" applyFont="1" applyBorder="1"/>
    <xf numFmtId="0" fontId="4" fillId="0" borderId="26" xfId="0" applyFont="1" applyBorder="1"/>
    <xf numFmtId="0" fontId="4" fillId="0" borderId="27" xfId="0" applyFont="1" applyBorder="1"/>
    <xf numFmtId="0" fontId="4" fillId="0" borderId="28" xfId="0" applyFont="1" applyBorder="1"/>
    <xf numFmtId="0" fontId="4" fillId="0" borderId="29" xfId="0" applyFont="1" applyBorder="1"/>
    <xf numFmtId="0" fontId="5" fillId="0" borderId="30" xfId="0" applyFont="1" applyBorder="1" applyAlignment="1">
      <alignment horizontal="center" vertical="center" wrapText="1"/>
    </xf>
    <xf numFmtId="0" fontId="5" fillId="0" borderId="30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6" fillId="0" borderId="30" xfId="0" applyFont="1" applyBorder="1" applyAlignment="1">
      <alignment horizontal="justify" vertical="justify" wrapText="1"/>
    </xf>
    <xf numFmtId="0" fontId="5" fillId="0" borderId="27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165" fontId="8" fillId="0" borderId="0" xfId="2" applyFont="1" applyAlignment="1">
      <alignment horizontal="center" vertical="center"/>
    </xf>
    <xf numFmtId="165" fontId="8" fillId="0" borderId="0" xfId="2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65" fontId="13" fillId="0" borderId="10" xfId="2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165" fontId="13" fillId="0" borderId="11" xfId="2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165" fontId="14" fillId="0" borderId="6" xfId="2" applyFont="1" applyFill="1" applyBorder="1" applyAlignment="1">
      <alignment vertical="center"/>
    </xf>
    <xf numFmtId="165" fontId="14" fillId="0" borderId="6" xfId="2" applyFont="1" applyFill="1" applyBorder="1" applyAlignment="1">
      <alignment vertical="center" wrapText="1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165" fontId="14" fillId="0" borderId="11" xfId="2" applyFont="1" applyFill="1" applyBorder="1" applyAlignment="1">
      <alignment vertical="center" wrapText="1"/>
    </xf>
    <xf numFmtId="43" fontId="8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165" fontId="14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165" fontId="8" fillId="0" borderId="0" xfId="2" applyFont="1" applyFill="1" applyBorder="1" applyAlignment="1">
      <alignment horizontal="right" vertical="center"/>
    </xf>
    <xf numFmtId="165" fontId="8" fillId="0" borderId="0" xfId="2" applyFont="1" applyBorder="1" applyAlignment="1">
      <alignment horizontal="right" vertical="center"/>
    </xf>
    <xf numFmtId="165" fontId="8" fillId="0" borderId="0" xfId="2" applyFont="1" applyBorder="1" applyAlignment="1">
      <alignment vertical="center"/>
    </xf>
    <xf numFmtId="0" fontId="8" fillId="0" borderId="0" xfId="0" applyFont="1" applyBorder="1" applyAlignment="1"/>
    <xf numFmtId="0" fontId="19" fillId="0" borderId="0" xfId="0" applyFont="1" applyBorder="1" applyAlignment="1">
      <alignment horizontal="left"/>
    </xf>
    <xf numFmtId="165" fontId="12" fillId="0" borderId="0" xfId="2" applyFont="1" applyBorder="1" applyAlignment="1"/>
    <xf numFmtId="165" fontId="10" fillId="0" borderId="0" xfId="2" applyFont="1" applyFill="1" applyBorder="1" applyAlignment="1">
      <alignment horizontal="right" vertical="center" wrapText="1"/>
    </xf>
    <xf numFmtId="0" fontId="10" fillId="0" borderId="0" xfId="0" applyFont="1" applyBorder="1" applyAlignment="1">
      <alignment wrapText="1"/>
    </xf>
    <xf numFmtId="165" fontId="20" fillId="0" borderId="0" xfId="2" applyFont="1" applyFill="1" applyBorder="1" applyAlignment="1">
      <alignment horizontal="right" vertical="center"/>
    </xf>
    <xf numFmtId="0" fontId="20" fillId="0" borderId="0" xfId="0" applyFont="1" applyBorder="1" applyAlignment="1">
      <alignment vertical="center"/>
    </xf>
    <xf numFmtId="0" fontId="20" fillId="0" borderId="0" xfId="0" applyFont="1" applyBorder="1" applyAlignment="1"/>
    <xf numFmtId="165" fontId="21" fillId="0" borderId="0" xfId="2" applyFont="1" applyFill="1" applyBorder="1" applyAlignment="1">
      <alignment horizontal="right" vertical="center" wrapText="1"/>
    </xf>
    <xf numFmtId="0" fontId="2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/>
    </xf>
    <xf numFmtId="0" fontId="12" fillId="0" borderId="0" xfId="0" applyFont="1" applyBorder="1" applyAlignment="1"/>
    <xf numFmtId="165" fontId="11" fillId="0" borderId="0" xfId="2" applyFont="1" applyFill="1" applyBorder="1" applyAlignment="1">
      <alignment horizontal="right" vertical="center"/>
    </xf>
    <xf numFmtId="165" fontId="11" fillId="0" borderId="2" xfId="2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0" fontId="11" fillId="0" borderId="0" xfId="0" applyFont="1" applyBorder="1" applyAlignment="1"/>
    <xf numFmtId="0" fontId="11" fillId="0" borderId="0" xfId="0" applyFont="1" applyBorder="1" applyAlignment="1">
      <alignment horizontal="left"/>
    </xf>
    <xf numFmtId="165" fontId="11" fillId="0" borderId="0" xfId="2" applyFont="1" applyBorder="1" applyAlignment="1"/>
    <xf numFmtId="0" fontId="21" fillId="0" borderId="10" xfId="2" applyNumberFormat="1" applyFont="1" applyFill="1" applyBorder="1" applyAlignment="1">
      <alignment horizontal="center" vertical="center"/>
    </xf>
    <xf numFmtId="165" fontId="11" fillId="0" borderId="0" xfId="2" applyFont="1" applyBorder="1" applyAlignment="1">
      <alignment vertical="center"/>
    </xf>
    <xf numFmtId="49" fontId="21" fillId="0" borderId="0" xfId="2" applyNumberFormat="1" applyFont="1" applyFill="1" applyBorder="1" applyAlignment="1">
      <alignment horizontal="center" vertical="center"/>
    </xf>
    <xf numFmtId="49" fontId="21" fillId="0" borderId="0" xfId="2" applyNumberFormat="1" applyFont="1" applyBorder="1" applyAlignment="1">
      <alignment horizontal="center"/>
    </xf>
    <xf numFmtId="165" fontId="21" fillId="0" borderId="11" xfId="2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65" fontId="11" fillId="0" borderId="10" xfId="2" applyFont="1" applyFill="1" applyBorder="1" applyAlignment="1">
      <alignment horizontal="right" vertical="center"/>
    </xf>
    <xf numFmtId="165" fontId="11" fillId="0" borderId="0" xfId="2" applyFont="1" applyFill="1" applyBorder="1" applyAlignment="1">
      <alignment vertical="center"/>
    </xf>
    <xf numFmtId="0" fontId="21" fillId="0" borderId="0" xfId="0" applyFont="1" applyBorder="1" applyAlignment="1"/>
    <xf numFmtId="0" fontId="21" fillId="0" borderId="0" xfId="0" applyFont="1" applyBorder="1" applyAlignment="1">
      <alignment vertical="center"/>
    </xf>
    <xf numFmtId="165" fontId="21" fillId="0" borderId="0" xfId="2" applyNumberFormat="1" applyFont="1" applyFill="1" applyBorder="1" applyAlignment="1">
      <alignment vertical="center"/>
    </xf>
    <xf numFmtId="39" fontId="21" fillId="0" borderId="0" xfId="2" applyNumberFormat="1" applyFont="1" applyFill="1" applyBorder="1" applyAlignment="1"/>
    <xf numFmtId="43" fontId="21" fillId="0" borderId="0" xfId="0" applyNumberFormat="1" applyFont="1" applyBorder="1" applyAlignment="1"/>
    <xf numFmtId="165" fontId="21" fillId="0" borderId="0" xfId="2" applyFont="1" applyBorder="1" applyAlignment="1"/>
    <xf numFmtId="0" fontId="11" fillId="0" borderId="6" xfId="0" applyFont="1" applyFill="1" applyBorder="1" applyAlignment="1">
      <alignment horizontal="left" vertical="center" wrapText="1"/>
    </xf>
    <xf numFmtId="165" fontId="11" fillId="0" borderId="6" xfId="2" applyFont="1" applyFill="1" applyBorder="1" applyAlignment="1">
      <alignment horizontal="right" vertical="center" wrapText="1"/>
    </xf>
    <xf numFmtId="165" fontId="11" fillId="0" borderId="0" xfId="2" applyNumberFormat="1" applyFont="1" applyFill="1" applyBorder="1" applyAlignment="1">
      <alignment vertical="center" wrapText="1"/>
    </xf>
    <xf numFmtId="39" fontId="11" fillId="0" borderId="0" xfId="2" applyNumberFormat="1" applyFont="1" applyFill="1" applyBorder="1" applyAlignment="1">
      <alignment wrapText="1"/>
    </xf>
    <xf numFmtId="0" fontId="11" fillId="0" borderId="6" xfId="0" applyFont="1" applyFill="1" applyBorder="1" applyAlignment="1">
      <alignment horizontal="center" vertical="center" wrapText="1"/>
    </xf>
    <xf numFmtId="165" fontId="21" fillId="0" borderId="0" xfId="2" applyNumberFormat="1" applyFont="1" applyFill="1" applyBorder="1" applyAlignment="1">
      <alignment vertical="center" wrapText="1"/>
    </xf>
    <xf numFmtId="39" fontId="21" fillId="0" borderId="0" xfId="2" applyNumberFormat="1" applyFont="1" applyFill="1" applyBorder="1" applyAlignment="1">
      <alignment wrapText="1"/>
    </xf>
    <xf numFmtId="0" fontId="11" fillId="0" borderId="0" xfId="0" applyFont="1" applyBorder="1" applyAlignment="1">
      <alignment vertical="center"/>
    </xf>
    <xf numFmtId="0" fontId="21" fillId="0" borderId="6" xfId="0" applyFont="1" applyFill="1" applyBorder="1" applyAlignment="1">
      <alignment horizontal="left" vertical="center" wrapText="1"/>
    </xf>
    <xf numFmtId="165" fontId="21" fillId="0" borderId="6" xfId="2" applyFont="1" applyFill="1" applyBorder="1" applyAlignment="1">
      <alignment horizontal="right" vertical="center" wrapText="1"/>
    </xf>
    <xf numFmtId="0" fontId="11" fillId="3" borderId="6" xfId="0" applyFont="1" applyFill="1" applyBorder="1" applyAlignment="1">
      <alignment horizontal="left" vertical="center" wrapText="1"/>
    </xf>
    <xf numFmtId="165" fontId="11" fillId="3" borderId="6" xfId="2" applyFont="1" applyFill="1" applyBorder="1" applyAlignment="1">
      <alignment horizontal="right" vertical="center" wrapText="1"/>
    </xf>
    <xf numFmtId="165" fontId="11" fillId="0" borderId="3" xfId="2" applyNumberFormat="1" applyFont="1" applyFill="1" applyBorder="1" applyAlignment="1">
      <alignment vertical="center" wrapText="1"/>
    </xf>
    <xf numFmtId="43" fontId="11" fillId="0" borderId="0" xfId="0" applyNumberFormat="1" applyFont="1" applyBorder="1" applyAlignment="1"/>
    <xf numFmtId="0" fontId="11" fillId="0" borderId="0" xfId="0" quotePrefix="1" applyFont="1" applyBorder="1" applyAlignment="1">
      <alignment horizontal="left"/>
    </xf>
    <xf numFmtId="165" fontId="11" fillId="0" borderId="0" xfId="2" applyNumberFormat="1" applyFont="1" applyFill="1" applyBorder="1" applyAlignment="1">
      <alignment wrapText="1"/>
    </xf>
    <xf numFmtId="43" fontId="11" fillId="0" borderId="0" xfId="0" applyNumberFormat="1" applyFont="1" applyBorder="1" applyAlignment="1">
      <alignment vertical="center"/>
    </xf>
    <xf numFmtId="0" fontId="21" fillId="0" borderId="6" xfId="0" applyFont="1" applyFill="1" applyBorder="1" applyAlignment="1">
      <alignment horizontal="center" vertical="center" wrapText="1"/>
    </xf>
    <xf numFmtId="165" fontId="11" fillId="0" borderId="0" xfId="2" applyFont="1" applyFill="1" applyBorder="1" applyAlignment="1">
      <alignment wrapText="1"/>
    </xf>
    <xf numFmtId="165" fontId="21" fillId="0" borderId="0" xfId="2" applyNumberFormat="1" applyFont="1" applyFill="1" applyBorder="1" applyAlignment="1">
      <alignment horizontal="right" vertical="center" wrapText="1"/>
    </xf>
    <xf numFmtId="39" fontId="21" fillId="0" borderId="0" xfId="2" applyNumberFormat="1" applyFont="1" applyFill="1" applyBorder="1" applyAlignment="1">
      <alignment horizontal="right" wrapText="1"/>
    </xf>
    <xf numFmtId="165" fontId="11" fillId="0" borderId="0" xfId="2" applyFont="1" applyFill="1" applyBorder="1" applyAlignment="1">
      <alignment horizontal="right" vertical="center" wrapText="1"/>
    </xf>
    <xf numFmtId="39" fontId="11" fillId="0" borderId="0" xfId="2" applyNumberFormat="1" applyFont="1" applyFill="1" applyBorder="1" applyAlignment="1">
      <alignment horizontal="right" wrapText="1"/>
    </xf>
    <xf numFmtId="0" fontId="11" fillId="0" borderId="6" xfId="0" applyFont="1" applyFill="1" applyBorder="1" applyAlignment="1">
      <alignment horizontal="left" vertical="center"/>
    </xf>
    <xf numFmtId="165" fontId="11" fillId="0" borderId="11" xfId="2" applyFont="1" applyFill="1" applyBorder="1" applyAlignment="1">
      <alignment horizontal="right" vertical="center" wrapText="1"/>
    </xf>
    <xf numFmtId="39" fontId="11" fillId="0" borderId="0" xfId="2" applyNumberFormat="1" applyFont="1" applyFill="1" applyBorder="1" applyAlignment="1">
      <alignment horizontal="right"/>
    </xf>
    <xf numFmtId="43" fontId="21" fillId="0" borderId="0" xfId="0" applyNumberFormat="1" applyFont="1" applyBorder="1" applyAlignment="1">
      <alignment vertical="center"/>
    </xf>
    <xf numFmtId="0" fontId="13" fillId="0" borderId="0" xfId="0" applyFont="1" applyFill="1" applyBorder="1" applyAlignment="1">
      <alignment horizontal="left" vertical="center" wrapText="1"/>
    </xf>
    <xf numFmtId="165" fontId="13" fillId="0" borderId="0" xfId="1" applyNumberFormat="1" applyFont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0" fontId="8" fillId="0" borderId="0" xfId="0" applyFont="1"/>
    <xf numFmtId="0" fontId="12" fillId="0" borderId="0" xfId="0" applyFont="1"/>
    <xf numFmtId="0" fontId="10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9" fillId="0" borderId="0" xfId="0" applyFont="1"/>
    <xf numFmtId="0" fontId="13" fillId="0" borderId="0" xfId="0" applyFont="1" applyBorder="1" applyAlignment="1">
      <alignment horizontal="center"/>
    </xf>
    <xf numFmtId="0" fontId="13" fillId="0" borderId="1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vertical="center" wrapText="1"/>
    </xf>
    <xf numFmtId="165" fontId="13" fillId="0" borderId="10" xfId="1" applyNumberFormat="1" applyFont="1" applyFill="1" applyBorder="1" applyAlignment="1">
      <alignment horizontal="right" vertical="center" wrapText="1"/>
    </xf>
    <xf numFmtId="165" fontId="13" fillId="0" borderId="0" xfId="1" applyNumberFormat="1" applyFont="1" applyFill="1" applyBorder="1" applyAlignment="1">
      <alignment horizontal="right" vertical="center" wrapText="1"/>
    </xf>
    <xf numFmtId="165" fontId="19" fillId="0" borderId="6" xfId="1" applyNumberFormat="1" applyFont="1" applyFill="1" applyBorder="1" applyAlignment="1">
      <alignment horizontal="right" vertical="center" wrapText="1"/>
    </xf>
    <xf numFmtId="164" fontId="19" fillId="0" borderId="0" xfId="1" applyFont="1"/>
    <xf numFmtId="165" fontId="19" fillId="0" borderId="0" xfId="1" applyNumberFormat="1" applyFont="1" applyFill="1" applyBorder="1" applyAlignment="1">
      <alignment horizontal="right" vertical="center" wrapText="1"/>
    </xf>
    <xf numFmtId="43" fontId="19" fillId="0" borderId="0" xfId="0" applyNumberFormat="1" applyFont="1"/>
    <xf numFmtId="0" fontId="19" fillId="0" borderId="3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165" fontId="13" fillId="0" borderId="6" xfId="1" applyNumberFormat="1" applyFont="1" applyFill="1" applyBorder="1" applyAlignment="1">
      <alignment horizontal="right" vertical="center" wrapText="1"/>
    </xf>
    <xf numFmtId="165" fontId="19" fillId="0" borderId="0" xfId="2" applyFont="1"/>
    <xf numFmtId="165" fontId="19" fillId="0" borderId="0" xfId="0" applyNumberFormat="1" applyFont="1" applyBorder="1"/>
    <xf numFmtId="0" fontId="19" fillId="0" borderId="0" xfId="0" applyFont="1" applyBorder="1"/>
    <xf numFmtId="165" fontId="13" fillId="0" borderId="11" xfId="1" applyNumberFormat="1" applyFont="1" applyFill="1" applyBorder="1" applyAlignment="1">
      <alignment horizontal="right" vertical="center" wrapText="1"/>
    </xf>
    <xf numFmtId="43" fontId="19" fillId="0" borderId="0" xfId="0" applyNumberFormat="1" applyFont="1" applyBorder="1"/>
    <xf numFmtId="165" fontId="19" fillId="0" borderId="10" xfId="1" applyNumberFormat="1" applyFont="1" applyFill="1" applyBorder="1" applyAlignment="1">
      <alignment horizontal="right" vertical="center" wrapText="1"/>
    </xf>
    <xf numFmtId="165" fontId="19" fillId="0" borderId="6" xfId="1" applyNumberFormat="1" applyFont="1" applyFill="1" applyBorder="1" applyAlignment="1">
      <alignment horizontal="right" vertical="top" wrapText="1"/>
    </xf>
    <xf numFmtId="165" fontId="19" fillId="0" borderId="0" xfId="1" applyNumberFormat="1" applyFont="1" applyFill="1" applyBorder="1" applyAlignment="1">
      <alignment horizontal="right" vertical="top" wrapText="1"/>
    </xf>
    <xf numFmtId="165" fontId="13" fillId="2" borderId="11" xfId="1" applyNumberFormat="1" applyFont="1" applyFill="1" applyBorder="1" applyAlignment="1">
      <alignment horizontal="right" vertical="top" wrapText="1"/>
    </xf>
    <xf numFmtId="165" fontId="13" fillId="2" borderId="0" xfId="1" applyNumberFormat="1" applyFont="1" applyFill="1" applyBorder="1" applyAlignment="1">
      <alignment horizontal="right" vertical="top" wrapText="1"/>
    </xf>
    <xf numFmtId="165" fontId="19" fillId="0" borderId="12" xfId="1" applyNumberFormat="1" applyFont="1" applyFill="1" applyBorder="1" applyAlignment="1">
      <alignment horizontal="right" vertical="center" wrapText="1"/>
    </xf>
    <xf numFmtId="0" fontId="8" fillId="0" borderId="0" xfId="0" applyFont="1" applyBorder="1"/>
    <xf numFmtId="165" fontId="14" fillId="0" borderId="0" xfId="1" applyNumberFormat="1" applyFont="1" applyBorder="1" applyAlignment="1">
      <alignment horizontal="right" vertical="center"/>
    </xf>
    <xf numFmtId="0" fontId="13" fillId="0" borderId="0" xfId="0" applyFont="1" applyBorder="1" applyAlignment="1"/>
    <xf numFmtId="43" fontId="13" fillId="0" borderId="0" xfId="0" applyNumberFormat="1" applyFont="1" applyBorder="1" applyAlignment="1"/>
    <xf numFmtId="0" fontId="12" fillId="0" borderId="0" xfId="0" applyFont="1" applyBorder="1" applyAlignment="1">
      <alignment vertical="center"/>
    </xf>
    <xf numFmtId="165" fontId="12" fillId="0" borderId="0" xfId="2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3" fillId="0" borderId="3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21" fillId="0" borderId="3" xfId="0" applyFont="1" applyBorder="1" applyAlignment="1"/>
    <xf numFmtId="49" fontId="21" fillId="0" borderId="9" xfId="2" applyNumberFormat="1" applyFont="1" applyBorder="1" applyAlignment="1">
      <alignment horizontal="center" vertical="center"/>
    </xf>
    <xf numFmtId="49" fontId="21" fillId="0" borderId="10" xfId="2" applyNumberFormat="1" applyFont="1" applyBorder="1" applyAlignment="1">
      <alignment horizontal="center" vertical="center"/>
    </xf>
    <xf numFmtId="165" fontId="21" fillId="0" borderId="5" xfId="2" applyFont="1" applyBorder="1" applyAlignment="1">
      <alignment horizontal="center" vertical="center"/>
    </xf>
    <xf numFmtId="165" fontId="21" fillId="0" borderId="11" xfId="2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center"/>
    </xf>
    <xf numFmtId="165" fontId="24" fillId="0" borderId="2" xfId="2" applyFont="1" applyBorder="1" applyAlignment="1">
      <alignment horizontal="right" vertical="center"/>
    </xf>
    <xf numFmtId="165" fontId="24" fillId="0" borderId="10" xfId="2" applyFont="1" applyBorder="1" applyAlignment="1">
      <alignment horizontal="right" vertical="center"/>
    </xf>
    <xf numFmtId="165" fontId="21" fillId="0" borderId="2" xfId="2" applyFont="1" applyFill="1" applyBorder="1" applyAlignment="1">
      <alignment vertical="center"/>
    </xf>
    <xf numFmtId="165" fontId="24" fillId="0" borderId="6" xfId="2" applyFont="1" applyFill="1" applyBorder="1" applyAlignment="1">
      <alignment horizontal="right" vertical="center"/>
    </xf>
    <xf numFmtId="0" fontId="11" fillId="0" borderId="6" xfId="0" applyFont="1" applyBorder="1" applyAlignment="1">
      <alignment horizontal="left" vertical="center"/>
    </xf>
    <xf numFmtId="165" fontId="11" fillId="0" borderId="6" xfId="2" applyFont="1" applyBorder="1" applyAlignment="1">
      <alignment horizontal="right" vertical="center"/>
    </xf>
    <xf numFmtId="165" fontId="11" fillId="0" borderId="2" xfId="2" applyFont="1" applyFill="1" applyBorder="1" applyAlignment="1">
      <alignment vertical="center"/>
    </xf>
    <xf numFmtId="165" fontId="11" fillId="0" borderId="6" xfId="2" applyFont="1" applyFill="1" applyBorder="1" applyAlignment="1">
      <alignment horizontal="right" vertical="center"/>
    </xf>
    <xf numFmtId="0" fontId="11" fillId="0" borderId="6" xfId="0" applyFont="1" applyBorder="1" applyAlignment="1">
      <alignment vertical="center"/>
    </xf>
    <xf numFmtId="165" fontId="11" fillId="0" borderId="2" xfId="2" applyFont="1" applyBorder="1" applyAlignment="1">
      <alignment vertical="center"/>
    </xf>
    <xf numFmtId="165" fontId="11" fillId="0" borderId="6" xfId="2" applyFont="1" applyBorder="1" applyAlignment="1">
      <alignment vertical="center"/>
    </xf>
    <xf numFmtId="0" fontId="21" fillId="0" borderId="6" xfId="0" applyFont="1" applyBorder="1" applyAlignment="1">
      <alignment horizontal="left" vertical="center"/>
    </xf>
    <xf numFmtId="165" fontId="24" fillId="0" borderId="6" xfId="2" applyFont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21" fillId="0" borderId="6" xfId="0" applyFont="1" applyFill="1" applyBorder="1" applyAlignment="1">
      <alignment horizontal="left" vertical="center"/>
    </xf>
    <xf numFmtId="165" fontId="24" fillId="0" borderId="2" xfId="2" applyFont="1" applyFill="1" applyBorder="1" applyAlignment="1">
      <alignment horizontal="right" vertical="center"/>
    </xf>
    <xf numFmtId="165" fontId="11" fillId="0" borderId="2" xfId="2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165" fontId="11" fillId="0" borderId="11" xfId="2" applyFont="1" applyBorder="1" applyAlignment="1">
      <alignment horizontal="right" vertical="center"/>
    </xf>
    <xf numFmtId="0" fontId="21" fillId="0" borderId="6" xfId="0" applyFont="1" applyFill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165" fontId="24" fillId="0" borderId="6" xfId="2" applyNumberFormat="1" applyFont="1" applyFill="1" applyBorder="1" applyAlignment="1">
      <alignment horizontal="right" vertical="center"/>
    </xf>
    <xf numFmtId="164" fontId="11" fillId="0" borderId="0" xfId="1" applyFont="1" applyBorder="1" applyAlignment="1"/>
    <xf numFmtId="165" fontId="11" fillId="0" borderId="5" xfId="2" applyFont="1" applyBorder="1" applyAlignment="1">
      <alignment vertical="center"/>
    </xf>
    <xf numFmtId="165" fontId="11" fillId="0" borderId="11" xfId="2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25" fillId="4" borderId="12" xfId="0" applyFont="1" applyFill="1" applyBorder="1" applyAlignment="1">
      <alignment horizontal="left" vertical="center"/>
    </xf>
    <xf numFmtId="165" fontId="25" fillId="4" borderId="14" xfId="2" applyFont="1" applyFill="1" applyBorder="1" applyAlignment="1">
      <alignment horizontal="right" vertical="center"/>
    </xf>
    <xf numFmtId="165" fontId="25" fillId="4" borderId="12" xfId="2" applyFont="1" applyFill="1" applyBorder="1" applyAlignment="1">
      <alignment horizontal="right" vertical="center"/>
    </xf>
    <xf numFmtId="165" fontId="25" fillId="4" borderId="14" xfId="2" applyFont="1" applyFill="1" applyBorder="1" applyAlignment="1">
      <alignment vertical="center"/>
    </xf>
    <xf numFmtId="165" fontId="26" fillId="4" borderId="12" xfId="2" applyFont="1" applyFill="1" applyBorder="1" applyAlignment="1">
      <alignment horizontal="right" vertical="center"/>
    </xf>
    <xf numFmtId="165" fontId="26" fillId="4" borderId="14" xfId="2" applyFont="1" applyFill="1" applyBorder="1" applyAlignment="1">
      <alignment vertical="center"/>
    </xf>
    <xf numFmtId="165" fontId="26" fillId="4" borderId="12" xfId="2" applyFont="1" applyFill="1" applyBorder="1" applyAlignment="1">
      <alignment vertical="center"/>
    </xf>
    <xf numFmtId="4" fontId="25" fillId="4" borderId="12" xfId="2" applyNumberFormat="1" applyFont="1" applyFill="1" applyBorder="1" applyAlignment="1">
      <alignment horizontal="right" vertical="center"/>
    </xf>
    <xf numFmtId="4" fontId="21" fillId="0" borderId="0" xfId="2" applyNumberFormat="1" applyFont="1" applyBorder="1" applyAlignment="1">
      <alignment horizontal="right" vertical="center"/>
    </xf>
    <xf numFmtId="165" fontId="11" fillId="0" borderId="0" xfId="0" applyNumberFormat="1" applyFont="1" applyBorder="1" applyAlignment="1">
      <alignment vertical="center"/>
    </xf>
    <xf numFmtId="4" fontId="25" fillId="4" borderId="14" xfId="2" applyNumberFormat="1" applyFont="1" applyFill="1" applyBorder="1" applyAlignment="1">
      <alignment horizontal="right" vertical="center"/>
    </xf>
    <xf numFmtId="165" fontId="25" fillId="4" borderId="14" xfId="2" applyFont="1" applyFill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43" fontId="14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28" fillId="4" borderId="12" xfId="0" applyFont="1" applyFill="1" applyBorder="1" applyAlignment="1">
      <alignment horizontal="center" vertical="center"/>
    </xf>
    <xf numFmtId="165" fontId="29" fillId="4" borderId="12" xfId="2" applyFont="1" applyFill="1" applyBorder="1" applyAlignment="1">
      <alignment vertical="center"/>
    </xf>
    <xf numFmtId="165" fontId="29" fillId="4" borderId="12" xfId="2" applyFont="1" applyFill="1" applyBorder="1" applyAlignment="1">
      <alignment horizontal="center" vertical="center"/>
    </xf>
    <xf numFmtId="165" fontId="29" fillId="4" borderId="12" xfId="2" applyNumberFormat="1" applyFont="1" applyFill="1" applyBorder="1" applyAlignment="1">
      <alignment horizontal="center" vertical="center"/>
    </xf>
    <xf numFmtId="165" fontId="10" fillId="0" borderId="0" xfId="2" applyFont="1" applyBorder="1" applyAlignment="1">
      <alignment horizontal="right" vertical="center" wrapText="1"/>
    </xf>
    <xf numFmtId="165" fontId="20" fillId="0" borderId="0" xfId="2" applyFont="1" applyBorder="1" applyAlignment="1">
      <alignment horizontal="right" vertical="center"/>
    </xf>
    <xf numFmtId="165" fontId="21" fillId="0" borderId="0" xfId="2" applyFont="1" applyBorder="1" applyAlignment="1">
      <alignment horizontal="right" vertical="center" wrapText="1"/>
    </xf>
    <xf numFmtId="165" fontId="11" fillId="0" borderId="0" xfId="2" applyFont="1" applyBorder="1" applyAlignment="1">
      <alignment horizontal="right" vertical="center"/>
    </xf>
    <xf numFmtId="43" fontId="13" fillId="0" borderId="0" xfId="0" applyNumberFormat="1" applyFont="1" applyBorder="1" applyAlignment="1">
      <alignment vertical="center"/>
    </xf>
    <xf numFmtId="0" fontId="30" fillId="4" borderId="12" xfId="0" applyFont="1" applyFill="1" applyBorder="1" applyAlignment="1">
      <alignment horizontal="left" vertical="center" wrapText="1"/>
    </xf>
    <xf numFmtId="165" fontId="30" fillId="4" borderId="12" xfId="2" applyFont="1" applyFill="1" applyBorder="1" applyAlignment="1">
      <alignment horizontal="right" vertical="center"/>
    </xf>
    <xf numFmtId="165" fontId="30" fillId="4" borderId="12" xfId="2" applyFont="1" applyFill="1" applyBorder="1" applyAlignment="1">
      <alignment horizontal="right" vertical="center" wrapText="1"/>
    </xf>
    <xf numFmtId="0" fontId="30" fillId="4" borderId="12" xfId="0" applyFont="1" applyFill="1" applyBorder="1" applyAlignment="1">
      <alignment horizontal="left" vertical="center"/>
    </xf>
    <xf numFmtId="165" fontId="30" fillId="4" borderId="15" xfId="2" applyFont="1" applyFill="1" applyBorder="1" applyAlignment="1">
      <alignment horizontal="right" vertical="center"/>
    </xf>
    <xf numFmtId="0" fontId="12" fillId="0" borderId="0" xfId="0" applyFont="1" applyBorder="1"/>
    <xf numFmtId="43" fontId="12" fillId="0" borderId="0" xfId="0" applyNumberFormat="1" applyFont="1" applyBorder="1"/>
    <xf numFmtId="43" fontId="8" fillId="0" borderId="0" xfId="0" applyNumberFormat="1" applyFont="1" applyBorder="1"/>
    <xf numFmtId="0" fontId="18" fillId="0" borderId="0" xfId="0" applyFont="1" applyBorder="1" applyAlignment="1">
      <alignment horizontal="center" vertical="center" readingOrder="1"/>
    </xf>
    <xf numFmtId="165" fontId="28" fillId="4" borderId="10" xfId="1" applyNumberFormat="1" applyFont="1" applyFill="1" applyBorder="1" applyAlignment="1">
      <alignment horizontal="right" vertical="center" wrapText="1"/>
    </xf>
    <xf numFmtId="165" fontId="28" fillId="4" borderId="12" xfId="1" applyNumberFormat="1" applyFont="1" applyFill="1" applyBorder="1" applyAlignment="1">
      <alignment horizontal="right" vertical="center"/>
    </xf>
    <xf numFmtId="0" fontId="28" fillId="4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165" fontId="21" fillId="0" borderId="9" xfId="2" applyFont="1" applyBorder="1" applyAlignment="1">
      <alignment horizontal="center" vertical="center"/>
    </xf>
    <xf numFmtId="165" fontId="21" fillId="0" borderId="5" xfId="2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7" fillId="4" borderId="17" xfId="0" applyFont="1" applyFill="1" applyBorder="1" applyAlignment="1">
      <alignment horizontal="center" vertical="center"/>
    </xf>
    <xf numFmtId="0" fontId="27" fillId="4" borderId="13" xfId="0" applyFont="1" applyFill="1" applyBorder="1" applyAlignment="1">
      <alignment horizontal="center" vertical="center"/>
    </xf>
    <xf numFmtId="0" fontId="27" fillId="4" borderId="14" xfId="0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8" fillId="4" borderId="17" xfId="0" applyFont="1" applyFill="1" applyBorder="1" applyAlignment="1">
      <alignment horizontal="center" vertical="center"/>
    </xf>
    <xf numFmtId="0" fontId="28" fillId="4" borderId="13" xfId="0" applyFont="1" applyFill="1" applyBorder="1" applyAlignment="1">
      <alignment horizontal="center" vertical="center"/>
    </xf>
    <xf numFmtId="0" fontId="28" fillId="4" borderId="14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30" fillId="4" borderId="17" xfId="0" applyFont="1" applyFill="1" applyBorder="1" applyAlignment="1">
      <alignment horizontal="center" vertical="center"/>
    </xf>
    <xf numFmtId="0" fontId="30" fillId="4" borderId="13" xfId="0" applyFont="1" applyFill="1" applyBorder="1" applyAlignment="1">
      <alignment horizontal="center" vertical="center"/>
    </xf>
    <xf numFmtId="0" fontId="30" fillId="4" borderId="14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8" fillId="4" borderId="7" xfId="0" applyFont="1" applyFill="1" applyBorder="1" applyAlignment="1">
      <alignment horizontal="center" vertical="center"/>
    </xf>
    <xf numFmtId="0" fontId="28" fillId="4" borderId="8" xfId="0" applyFont="1" applyFill="1" applyBorder="1" applyAlignment="1">
      <alignment horizontal="center" vertical="center"/>
    </xf>
    <xf numFmtId="0" fontId="28" fillId="4" borderId="9" xfId="0" applyFont="1" applyFill="1" applyBorder="1" applyAlignment="1">
      <alignment horizontal="center" vertical="center"/>
    </xf>
    <xf numFmtId="0" fontId="28" fillId="4" borderId="4" xfId="0" applyFont="1" applyFill="1" applyBorder="1" applyAlignment="1">
      <alignment horizontal="center" vertical="center"/>
    </xf>
    <xf numFmtId="0" fontId="28" fillId="4" borderId="18" xfId="0" applyFont="1" applyFill="1" applyBorder="1" applyAlignment="1">
      <alignment horizontal="center" vertical="center"/>
    </xf>
    <xf numFmtId="0" fontId="28" fillId="4" borderId="5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28" fillId="4" borderId="7" xfId="0" applyFont="1" applyFill="1" applyBorder="1" applyAlignment="1">
      <alignment horizontal="left" vertical="center" wrapText="1"/>
    </xf>
    <xf numFmtId="0" fontId="28" fillId="4" borderId="9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9" fillId="3" borderId="3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28" fillId="4" borderId="17" xfId="0" applyFont="1" applyFill="1" applyBorder="1" applyAlignment="1">
      <alignment horizontal="left" vertical="center" wrapText="1"/>
    </xf>
    <xf numFmtId="0" fontId="28" fillId="4" borderId="14" xfId="0" applyFont="1" applyFill="1" applyBorder="1" applyAlignment="1">
      <alignment horizontal="left" vertical="center" wrapText="1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65</xdr:row>
      <xdr:rowOff>0</xdr:rowOff>
    </xdr:from>
    <xdr:ext cx="104775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76950" y="168116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939800</xdr:colOff>
      <xdr:row>63</xdr:row>
      <xdr:rowOff>208754</xdr:rowOff>
    </xdr:from>
    <xdr:to>
      <xdr:col>2</xdr:col>
      <xdr:colOff>1384300</xdr:colOff>
      <xdr:row>68</xdr:row>
      <xdr:rowOff>119060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39800" y="14591504"/>
          <a:ext cx="5207000" cy="1029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 eaLnBrk="1" fontAlgn="auto" latinLnBrk="0" hangingPunct="1"/>
          <a:r>
            <a:rPr lang="pt-BR" sz="1300" b="1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CLEBERSON ANTÔNIO SÁVIO GOMES</a:t>
          </a:r>
          <a:endParaRPr lang="pt-BR" sz="1300" b="0" i="0" baseline="0">
            <a:effectLst/>
            <a:latin typeface="Myriad Pro" panose="020B0503030403020204" pitchFamily="34" charset="0"/>
            <a:ea typeface="+mn-ea"/>
            <a:cs typeface="Arial" pitchFamily="34" charset="0"/>
          </a:endParaRPr>
        </a:p>
        <a:p>
          <a:pPr algn="ctr" rtl="0" eaLnBrk="1" fontAlgn="auto" latinLnBrk="0" hangingPunct="1"/>
          <a:r>
            <a:rPr lang="pt-BR" sz="1300" b="0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Diretor Presidente </a:t>
          </a:r>
          <a:endParaRPr lang="pt-BR" sz="1300" b="0" i="0" u="none" strike="noStrike" baseline="0">
            <a:solidFill>
              <a:srgbClr val="000000"/>
            </a:solidFill>
            <a:latin typeface="Myriad Pro" panose="020B0503030403020204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4</xdr:col>
      <xdr:colOff>2476500</xdr:colOff>
      <xdr:row>64</xdr:row>
      <xdr:rowOff>7935</xdr:rowOff>
    </xdr:from>
    <xdr:to>
      <xdr:col>6</xdr:col>
      <xdr:colOff>1225100</xdr:colOff>
      <xdr:row>70</xdr:row>
      <xdr:rowOff>19048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0132219" y="14616904"/>
          <a:ext cx="3582537" cy="1332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/>
          <a:r>
            <a:rPr lang="pt-BR" sz="1300" b="1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SOCRATES FARIAS DE BARROS</a:t>
          </a:r>
          <a:endParaRPr lang="pt-BR" sz="1300">
            <a:effectLst/>
            <a:latin typeface="Myriad Pro" panose="020B0503030403020204" pitchFamily="34" charset="0"/>
            <a:cs typeface="Arial" pitchFamily="34" charset="0"/>
          </a:endParaRPr>
        </a:p>
        <a:p>
          <a:pPr algn="ctr" rtl="0"/>
          <a:r>
            <a:rPr lang="pt-BR" sz="1300" b="0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Diretor de Tecnologia da Informação e Comunicação</a:t>
          </a:r>
          <a:endParaRPr lang="pt-BR" sz="1300">
            <a:effectLst/>
            <a:latin typeface="Myriad Pro" panose="020B0503030403020204" pitchFamily="34" charset="0"/>
            <a:cs typeface="Arial" pitchFamily="34" charset="0"/>
          </a:endParaRPr>
        </a:p>
        <a:p>
          <a:pPr algn="ctr" rtl="0">
            <a:defRPr sz="1000"/>
          </a:pPr>
          <a:endParaRPr lang="pt-BR" sz="1300" b="0" i="0" u="none" strike="noStrike" baseline="0">
            <a:solidFill>
              <a:srgbClr val="000000"/>
            </a:solidFill>
            <a:latin typeface="Myriad Pro" panose="020B0503030403020204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4</xdr:col>
      <xdr:colOff>314324</xdr:colOff>
      <xdr:row>73</xdr:row>
      <xdr:rowOff>59528</xdr:rowOff>
    </xdr:from>
    <xdr:to>
      <xdr:col>5</xdr:col>
      <xdr:colOff>383724</xdr:colOff>
      <xdr:row>77</xdr:row>
      <xdr:rowOff>30953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7970043" y="16621122"/>
          <a:ext cx="35936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>
            <a:defRPr sz="1000"/>
          </a:pPr>
          <a:r>
            <a:rPr lang="pt-BR" sz="1300" b="1" i="0" u="none" strike="noStrike" baseline="0">
              <a:solidFill>
                <a:srgbClr val="000000"/>
              </a:solidFill>
              <a:latin typeface="Myriad Pro" panose="020B0503030403020204" pitchFamily="34" charset="0"/>
              <a:cs typeface="Arial"/>
            </a:rPr>
            <a:t>ALCINDO FERNANDO DA SILVA</a:t>
          </a:r>
        </a:p>
        <a:p>
          <a:pPr algn="ctr" rtl="0">
            <a:defRPr sz="1000"/>
          </a:pPr>
          <a:r>
            <a:rPr lang="pt-BR" sz="1300" b="0" i="0" u="none" strike="noStrike" baseline="0">
              <a:solidFill>
                <a:srgbClr val="000000"/>
              </a:solidFill>
              <a:latin typeface="Myriad Pro" panose="020B0503030403020204" pitchFamily="34" charset="0"/>
              <a:cs typeface="Arial"/>
            </a:rPr>
            <a:t>Contador - CRC/MT 014402 O-1</a:t>
          </a:r>
        </a:p>
      </xdr:txBody>
    </xdr:sp>
    <xdr:clientData/>
  </xdr:twoCellAnchor>
  <xdr:twoCellAnchor editAs="oneCell">
    <xdr:from>
      <xdr:col>2</xdr:col>
      <xdr:colOff>368300</xdr:colOff>
      <xdr:row>62</xdr:row>
      <xdr:rowOff>157955</xdr:rowOff>
    </xdr:from>
    <xdr:to>
      <xdr:col>4</xdr:col>
      <xdr:colOff>2336800</xdr:colOff>
      <xdr:row>69</xdr:row>
      <xdr:rowOff>144461</xdr:rowOff>
    </xdr:to>
    <xdr:sp macro="" textlink="">
      <xdr:nvSpPr>
        <xdr:cNvPr id="8" name="Text Box 5"/>
        <xdr:cNvSpPr txBox="1">
          <a:spLocks noChangeArrowheads="1"/>
        </xdr:cNvSpPr>
      </xdr:nvSpPr>
      <xdr:spPr bwMode="auto">
        <a:xfrm>
          <a:off x="5130800" y="14314486"/>
          <a:ext cx="4861719" cy="154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/>
          <a:r>
            <a:rPr lang="pt-BR" sz="1300" b="1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CÉSAR FERNANDO BERRIEL VIDOTTO</a:t>
          </a:r>
          <a:endParaRPr lang="pt-BR" sz="1300">
            <a:effectLst/>
            <a:latin typeface="Myriad Pro" panose="020B0503030403020204" pitchFamily="34" charset="0"/>
            <a:cs typeface="Arial" pitchFamily="34" charset="0"/>
          </a:endParaRPr>
        </a:p>
        <a:p>
          <a:pPr algn="ctr" rtl="0"/>
          <a:r>
            <a:rPr lang="pt-BR" sz="1300" b="0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Diretor Administrativo</a:t>
          </a:r>
          <a:endParaRPr lang="pt-BR" sz="1300" b="0" i="0" u="none" strike="noStrike" baseline="0">
            <a:solidFill>
              <a:srgbClr val="000000"/>
            </a:solidFill>
            <a:latin typeface="Myriad Pro" panose="020B0503030403020204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139699</xdr:colOff>
      <xdr:row>1</xdr:row>
      <xdr:rowOff>76200</xdr:rowOff>
    </xdr:from>
    <xdr:to>
      <xdr:col>6</xdr:col>
      <xdr:colOff>1206500</xdr:colOff>
      <xdr:row>6</xdr:row>
      <xdr:rowOff>43708</xdr:rowOff>
    </xdr:to>
    <xdr:pic>
      <xdr:nvPicPr>
        <xdr:cNvPr id="10" name="Imagem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499" y="279400"/>
          <a:ext cx="12395201" cy="1237508"/>
        </a:xfrm>
        <a:prstGeom prst="rect">
          <a:avLst/>
        </a:prstGeom>
      </xdr:spPr>
    </xdr:pic>
    <xdr:clientData/>
  </xdr:twoCellAnchor>
  <xdr:twoCellAnchor editAs="oneCell">
    <xdr:from>
      <xdr:col>1</xdr:col>
      <xdr:colOff>2374900</xdr:colOff>
      <xdr:row>72</xdr:row>
      <xdr:rowOff>96834</xdr:rowOff>
    </xdr:from>
    <xdr:to>
      <xdr:col>3</xdr:col>
      <xdr:colOff>971100</xdr:colOff>
      <xdr:row>79</xdr:row>
      <xdr:rowOff>18253</xdr:rowOff>
    </xdr:to>
    <xdr:sp macro="" textlink="">
      <xdr:nvSpPr>
        <xdr:cNvPr id="9" name="Text Box 5"/>
        <xdr:cNvSpPr txBox="1">
          <a:spLocks noChangeArrowheads="1"/>
        </xdr:cNvSpPr>
      </xdr:nvSpPr>
      <xdr:spPr bwMode="auto">
        <a:xfrm>
          <a:off x="3565525" y="16456022"/>
          <a:ext cx="3596825" cy="13382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/>
          <a:r>
            <a:rPr lang="pt-BR" sz="1300" b="1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PAULO MARCIO PINHEIRO MACEDO</a:t>
          </a:r>
          <a:endParaRPr lang="pt-BR" sz="1300">
            <a:effectLst/>
            <a:latin typeface="Myriad Pro" panose="020B0503030403020204" pitchFamily="34" charset="0"/>
            <a:cs typeface="Arial" pitchFamily="34" charset="0"/>
          </a:endParaRPr>
        </a:p>
        <a:p>
          <a:pPr algn="ctr" rtl="0"/>
          <a:r>
            <a:rPr lang="pt-BR" sz="1300" b="0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Diretor de Relacionamento com Cliente</a:t>
          </a:r>
          <a:endParaRPr lang="pt-BR" sz="1300">
            <a:effectLst/>
            <a:latin typeface="Myriad Pro" panose="020B0503030403020204" pitchFamily="34" charset="0"/>
            <a:cs typeface="Arial" pitchFamily="34" charset="0"/>
          </a:endParaRPr>
        </a:p>
        <a:p>
          <a:pPr algn="ctr" rtl="0">
            <a:defRPr sz="1000"/>
          </a:pPr>
          <a:endParaRPr lang="pt-BR" sz="1300" b="0" i="0" u="none" strike="noStrike" baseline="0">
            <a:solidFill>
              <a:srgbClr val="000000"/>
            </a:solidFill>
            <a:latin typeface="Myriad Pro" panose="020B0503030403020204" pitchFamily="34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790575</xdr:colOff>
      <xdr:row>27</xdr:row>
      <xdr:rowOff>171450</xdr:rowOff>
    </xdr:from>
    <xdr:ext cx="114300" cy="244475"/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3886200" y="8153400"/>
          <a:ext cx="1143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</xdr:col>
      <xdr:colOff>101600</xdr:colOff>
      <xdr:row>1</xdr:row>
      <xdr:rowOff>279400</xdr:rowOff>
    </xdr:from>
    <xdr:to>
      <xdr:col>5</xdr:col>
      <xdr:colOff>1687633</xdr:colOff>
      <xdr:row>5</xdr:row>
      <xdr:rowOff>28429</xdr:rowOff>
    </xdr:to>
    <xdr:pic>
      <xdr:nvPicPr>
        <xdr:cNvPr id="8" name="Imagem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1200" y="457200"/>
          <a:ext cx="11733333" cy="1171429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355600</xdr:colOff>
      <xdr:row>26</xdr:row>
      <xdr:rowOff>317500</xdr:rowOff>
    </xdr:from>
    <xdr:to>
      <xdr:col>2</xdr:col>
      <xdr:colOff>774700</xdr:colOff>
      <xdr:row>29</xdr:row>
      <xdr:rowOff>292100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965200" y="8902700"/>
          <a:ext cx="3505200" cy="1041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 eaLnBrk="1" fontAlgn="auto" latinLnBrk="0" hangingPunct="1"/>
          <a:r>
            <a:rPr lang="pt-BR" sz="1300" b="1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CLEBERSON ANTÔNIO SÁVIO GOMES</a:t>
          </a:r>
          <a:endParaRPr lang="pt-BR" sz="1300" b="0" i="0" baseline="0">
            <a:effectLst/>
            <a:latin typeface="Myriad Pro" panose="020B0503030403020204" pitchFamily="34" charset="0"/>
            <a:ea typeface="+mn-ea"/>
            <a:cs typeface="Arial" pitchFamily="34" charset="0"/>
          </a:endParaRPr>
        </a:p>
        <a:p>
          <a:pPr algn="ctr" rtl="0" eaLnBrk="1" fontAlgn="auto" latinLnBrk="0" hangingPunct="1"/>
          <a:r>
            <a:rPr lang="pt-BR" sz="1300" b="0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Diretor Presidente </a:t>
          </a:r>
          <a:endParaRPr lang="pt-BR" sz="1300" b="0" i="0" u="none" strike="noStrike" baseline="0">
            <a:solidFill>
              <a:srgbClr val="000000"/>
            </a:solidFill>
            <a:latin typeface="Myriad Pro" panose="020B0503030403020204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4</xdr:col>
      <xdr:colOff>520700</xdr:colOff>
      <xdr:row>27</xdr:row>
      <xdr:rowOff>12700</xdr:rowOff>
    </xdr:from>
    <xdr:to>
      <xdr:col>6</xdr:col>
      <xdr:colOff>56700</xdr:colOff>
      <xdr:row>30</xdr:row>
      <xdr:rowOff>292100</xdr:rowOff>
    </xdr:to>
    <xdr:sp macro="" textlink="">
      <xdr:nvSpPr>
        <xdr:cNvPr id="10" name="Text Box 5"/>
        <xdr:cNvSpPr txBox="1">
          <a:spLocks noChangeArrowheads="1"/>
        </xdr:cNvSpPr>
      </xdr:nvSpPr>
      <xdr:spPr bwMode="auto">
        <a:xfrm>
          <a:off x="9029700" y="8953500"/>
          <a:ext cx="3600000" cy="134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/>
          <a:r>
            <a:rPr lang="pt-BR" sz="1300" b="1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SOCRATES FARIAS DE BARROS</a:t>
          </a:r>
          <a:endParaRPr lang="pt-BR" sz="1300">
            <a:effectLst/>
            <a:latin typeface="Myriad Pro" panose="020B0503030403020204" pitchFamily="34" charset="0"/>
            <a:cs typeface="Arial" pitchFamily="34" charset="0"/>
          </a:endParaRPr>
        </a:p>
        <a:p>
          <a:pPr algn="ctr" rtl="0"/>
          <a:r>
            <a:rPr lang="pt-BR" sz="1300" b="0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Diretor de Tecnologia da Informação e Comunicação</a:t>
          </a:r>
          <a:endParaRPr lang="pt-BR" sz="1300">
            <a:effectLst/>
            <a:latin typeface="Myriad Pro" panose="020B0503030403020204" pitchFamily="34" charset="0"/>
            <a:cs typeface="Arial" pitchFamily="34" charset="0"/>
          </a:endParaRPr>
        </a:p>
        <a:p>
          <a:pPr algn="ctr" rtl="0">
            <a:defRPr sz="1000"/>
          </a:pPr>
          <a:endParaRPr lang="pt-BR" sz="1300" b="0" i="0" u="none" strike="noStrike" baseline="0">
            <a:solidFill>
              <a:srgbClr val="000000"/>
            </a:solidFill>
            <a:latin typeface="Myriad Pro" panose="020B0503030403020204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3</xdr:col>
      <xdr:colOff>860424</xdr:colOff>
      <xdr:row>33</xdr:row>
      <xdr:rowOff>12700</xdr:rowOff>
    </xdr:from>
    <xdr:to>
      <xdr:col>4</xdr:col>
      <xdr:colOff>1958524</xdr:colOff>
      <xdr:row>35</xdr:row>
      <xdr:rowOff>88900</xdr:rowOff>
    </xdr:to>
    <xdr:sp macro="" textlink="">
      <xdr:nvSpPr>
        <xdr:cNvPr id="11" name="Text Box 7"/>
        <xdr:cNvSpPr txBox="1">
          <a:spLocks noChangeArrowheads="1"/>
        </xdr:cNvSpPr>
      </xdr:nvSpPr>
      <xdr:spPr bwMode="auto">
        <a:xfrm>
          <a:off x="6867524" y="10375900"/>
          <a:ext cx="3600000" cy="78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>
            <a:defRPr sz="1000"/>
          </a:pPr>
          <a:r>
            <a:rPr lang="pt-BR" sz="1300" b="1" i="0" u="none" strike="noStrike" baseline="0">
              <a:solidFill>
                <a:srgbClr val="000000"/>
              </a:solidFill>
              <a:latin typeface="Myriad Pro" panose="020B0503030403020204" pitchFamily="34" charset="0"/>
              <a:cs typeface="Arial"/>
            </a:rPr>
            <a:t>ALCINDO FERNANDO DA SILVA</a:t>
          </a:r>
        </a:p>
        <a:p>
          <a:pPr algn="ctr" rtl="0">
            <a:defRPr sz="1000"/>
          </a:pPr>
          <a:r>
            <a:rPr lang="pt-BR" sz="1300" b="0" i="0" u="none" strike="noStrike" baseline="0">
              <a:solidFill>
                <a:srgbClr val="000000"/>
              </a:solidFill>
              <a:latin typeface="Myriad Pro" panose="020B0503030403020204" pitchFamily="34" charset="0"/>
              <a:cs typeface="Arial"/>
            </a:rPr>
            <a:t>Contador - CRC/MT 014402 O-1</a:t>
          </a:r>
        </a:p>
      </xdr:txBody>
    </xdr:sp>
    <xdr:clientData/>
  </xdr:twoCellAnchor>
  <xdr:twoCellAnchor editAs="oneCell">
    <xdr:from>
      <xdr:col>2</xdr:col>
      <xdr:colOff>368300</xdr:colOff>
      <xdr:row>26</xdr:row>
      <xdr:rowOff>63500</xdr:rowOff>
    </xdr:from>
    <xdr:to>
      <xdr:col>4</xdr:col>
      <xdr:colOff>431800</xdr:colOff>
      <xdr:row>30</xdr:row>
      <xdr:rowOff>203200</xdr:rowOff>
    </xdr:to>
    <xdr:sp macro="" textlink="">
      <xdr:nvSpPr>
        <xdr:cNvPr id="12" name="Text Box 5"/>
        <xdr:cNvSpPr txBox="1">
          <a:spLocks noChangeArrowheads="1"/>
        </xdr:cNvSpPr>
      </xdr:nvSpPr>
      <xdr:spPr bwMode="auto">
        <a:xfrm>
          <a:off x="4064000" y="8648700"/>
          <a:ext cx="4876800" cy="156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/>
          <a:r>
            <a:rPr lang="pt-BR" sz="1300" b="1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CÉSAR FERNANDO BERRIEL VIDOTTO</a:t>
          </a:r>
          <a:endParaRPr lang="pt-BR" sz="1300">
            <a:effectLst/>
            <a:latin typeface="Myriad Pro" panose="020B0503030403020204" pitchFamily="34" charset="0"/>
            <a:cs typeface="Arial" pitchFamily="34" charset="0"/>
          </a:endParaRPr>
        </a:p>
        <a:p>
          <a:pPr algn="ctr" rtl="0"/>
          <a:r>
            <a:rPr lang="pt-BR" sz="1300" b="0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Diretor Administrativo</a:t>
          </a:r>
          <a:endParaRPr lang="pt-BR" sz="1300" b="0" i="0" u="none" strike="noStrike" baseline="0">
            <a:solidFill>
              <a:srgbClr val="000000"/>
            </a:solidFill>
            <a:latin typeface="Myriad Pro" panose="020B0503030403020204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1841500</xdr:colOff>
      <xdr:row>32</xdr:row>
      <xdr:rowOff>203200</xdr:rowOff>
    </xdr:from>
    <xdr:to>
      <xdr:col>3</xdr:col>
      <xdr:colOff>44000</xdr:colOff>
      <xdr:row>36</xdr:row>
      <xdr:rowOff>127000</xdr:rowOff>
    </xdr:to>
    <xdr:sp macro="" textlink="">
      <xdr:nvSpPr>
        <xdr:cNvPr id="13" name="Text Box 5"/>
        <xdr:cNvSpPr txBox="1">
          <a:spLocks noChangeArrowheads="1"/>
        </xdr:cNvSpPr>
      </xdr:nvSpPr>
      <xdr:spPr bwMode="auto">
        <a:xfrm>
          <a:off x="2451100" y="10210800"/>
          <a:ext cx="3600000" cy="134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/>
          <a:r>
            <a:rPr lang="pt-BR" sz="1300" b="1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PAULO MARCIO PINHEIRO MACEDO</a:t>
          </a:r>
          <a:endParaRPr lang="pt-BR" sz="1300">
            <a:effectLst/>
            <a:latin typeface="Myriad Pro" panose="020B0503030403020204" pitchFamily="34" charset="0"/>
            <a:cs typeface="Arial" pitchFamily="34" charset="0"/>
          </a:endParaRPr>
        </a:p>
        <a:p>
          <a:pPr algn="ctr" rtl="0"/>
          <a:r>
            <a:rPr lang="pt-BR" sz="1300" b="0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Diretor de Relacionamento com Cliente</a:t>
          </a:r>
          <a:endParaRPr lang="pt-BR" sz="1300">
            <a:effectLst/>
            <a:latin typeface="Myriad Pro" panose="020B0503030403020204" pitchFamily="34" charset="0"/>
            <a:cs typeface="Arial" pitchFamily="34" charset="0"/>
          </a:endParaRPr>
        </a:p>
        <a:p>
          <a:pPr algn="ctr" rtl="0">
            <a:defRPr sz="1000"/>
          </a:pPr>
          <a:endParaRPr lang="pt-BR" sz="1300" b="0" i="0" u="none" strike="noStrike" baseline="0">
            <a:solidFill>
              <a:srgbClr val="000000"/>
            </a:solidFill>
            <a:latin typeface="Myriad Pro" panose="020B0503030403020204" pitchFamily="34" charset="0"/>
            <a:cs typeface="Arial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791691</xdr:colOff>
      <xdr:row>1</xdr:row>
      <xdr:rowOff>24745</xdr:rowOff>
    </xdr:from>
    <xdr:to>
      <xdr:col>3</xdr:col>
      <xdr:colOff>2164776</xdr:colOff>
      <xdr:row>5</xdr:row>
      <xdr:rowOff>107602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7827" y="272148"/>
          <a:ext cx="10823865" cy="11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593766</xdr:colOff>
      <xdr:row>58</xdr:row>
      <xdr:rowOff>3625</xdr:rowOff>
    </xdr:from>
    <xdr:to>
      <xdr:col>1</xdr:col>
      <xdr:colOff>3492830</xdr:colOff>
      <xdr:row>62</xdr:row>
      <xdr:rowOff>104895</xdr:rowOff>
    </xdr:to>
    <xdr:sp macro="" textlink="">
      <xdr:nvSpPr>
        <xdr:cNvPr id="8" name="Text Box 4"/>
        <xdr:cNvSpPr txBox="1">
          <a:spLocks noChangeArrowheads="1"/>
        </xdr:cNvSpPr>
      </xdr:nvSpPr>
      <xdr:spPr bwMode="auto">
        <a:xfrm>
          <a:off x="593766" y="14957875"/>
          <a:ext cx="3537239" cy="1053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 eaLnBrk="1" fontAlgn="auto" latinLnBrk="0" hangingPunct="1"/>
          <a:r>
            <a:rPr lang="pt-BR" sz="1300" b="1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CLEBERSON ANTÔNIO SÁVIO GOMES</a:t>
          </a:r>
          <a:endParaRPr lang="pt-BR" sz="1300" b="0" i="0" baseline="0">
            <a:effectLst/>
            <a:latin typeface="Myriad Pro" panose="020B0503030403020204" pitchFamily="34" charset="0"/>
            <a:ea typeface="+mn-ea"/>
            <a:cs typeface="Arial" pitchFamily="34" charset="0"/>
          </a:endParaRPr>
        </a:p>
        <a:p>
          <a:pPr algn="ctr" rtl="0" eaLnBrk="1" fontAlgn="auto" latinLnBrk="0" hangingPunct="1"/>
          <a:r>
            <a:rPr lang="pt-BR" sz="1300" b="0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Diretor Presidente </a:t>
          </a:r>
          <a:endParaRPr lang="pt-BR" sz="1300" b="0" i="0" u="none" strike="noStrike" baseline="0">
            <a:solidFill>
              <a:srgbClr val="000000"/>
            </a:solidFill>
            <a:latin typeface="Myriad Pro" panose="020B0503030403020204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2</xdr:col>
      <xdr:colOff>2064991</xdr:colOff>
      <xdr:row>58</xdr:row>
      <xdr:rowOff>54425</xdr:rowOff>
    </xdr:from>
    <xdr:to>
      <xdr:col>4</xdr:col>
      <xdr:colOff>123172</xdr:colOff>
      <xdr:row>63</xdr:row>
      <xdr:rowOff>228555</xdr:rowOff>
    </xdr:to>
    <xdr:sp macro="" textlink="">
      <xdr:nvSpPr>
        <xdr:cNvPr id="9" name="Text Box 5"/>
        <xdr:cNvSpPr txBox="1">
          <a:spLocks noChangeArrowheads="1"/>
        </xdr:cNvSpPr>
      </xdr:nvSpPr>
      <xdr:spPr bwMode="auto">
        <a:xfrm>
          <a:off x="9723091" y="15008675"/>
          <a:ext cx="3887481" cy="1364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/>
          <a:r>
            <a:rPr lang="pt-BR" sz="1300" b="1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SOCRATES FARIAS DE BARROS</a:t>
          </a:r>
          <a:endParaRPr lang="pt-BR" sz="1300">
            <a:effectLst/>
            <a:latin typeface="Myriad Pro" panose="020B0503030403020204" pitchFamily="34" charset="0"/>
            <a:cs typeface="Arial" pitchFamily="34" charset="0"/>
          </a:endParaRPr>
        </a:p>
        <a:p>
          <a:pPr algn="ctr" rtl="0"/>
          <a:r>
            <a:rPr lang="pt-BR" sz="1300" b="0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Diretor de Tecnologia da Informação e Comunicação</a:t>
          </a:r>
          <a:endParaRPr lang="pt-BR" sz="1300">
            <a:effectLst/>
            <a:latin typeface="Myriad Pro" panose="020B0503030403020204" pitchFamily="34" charset="0"/>
            <a:cs typeface="Arial" pitchFamily="34" charset="0"/>
          </a:endParaRPr>
        </a:p>
        <a:p>
          <a:pPr algn="ctr" rtl="0">
            <a:defRPr sz="1000"/>
          </a:pPr>
          <a:endParaRPr lang="pt-BR" sz="1300" b="0" i="0" u="none" strike="noStrike" baseline="0">
            <a:solidFill>
              <a:srgbClr val="000000"/>
            </a:solidFill>
            <a:latin typeface="Myriad Pro" panose="020B0503030403020204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2</xdr:col>
      <xdr:colOff>311025</xdr:colOff>
      <xdr:row>65</xdr:row>
      <xdr:rowOff>220148</xdr:rowOff>
    </xdr:from>
    <xdr:to>
      <xdr:col>3</xdr:col>
      <xdr:colOff>1140115</xdr:colOff>
      <xdr:row>69</xdr:row>
      <xdr:rowOff>64325</xdr:rowOff>
    </xdr:to>
    <xdr:sp macro="" textlink="">
      <xdr:nvSpPr>
        <xdr:cNvPr id="10" name="Text Box 7"/>
        <xdr:cNvSpPr txBox="1">
          <a:spLocks noChangeArrowheads="1"/>
        </xdr:cNvSpPr>
      </xdr:nvSpPr>
      <xdr:spPr bwMode="auto">
        <a:xfrm>
          <a:off x="7969125" y="16841273"/>
          <a:ext cx="3743740" cy="7966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>
            <a:defRPr sz="1000"/>
          </a:pPr>
          <a:r>
            <a:rPr lang="pt-BR" sz="1300" b="1" i="0" u="none" strike="noStrike" baseline="0">
              <a:solidFill>
                <a:srgbClr val="000000"/>
              </a:solidFill>
              <a:latin typeface="Myriad Pro" panose="020B0503030403020204" pitchFamily="34" charset="0"/>
              <a:cs typeface="Arial"/>
            </a:rPr>
            <a:t>ALCINDO FERNANDO DA SILVA</a:t>
          </a:r>
        </a:p>
        <a:p>
          <a:pPr algn="ctr" rtl="0">
            <a:defRPr sz="1000"/>
          </a:pPr>
          <a:r>
            <a:rPr lang="pt-BR" sz="1300" b="0" i="0" u="none" strike="noStrike" baseline="0">
              <a:solidFill>
                <a:srgbClr val="000000"/>
              </a:solidFill>
              <a:latin typeface="Myriad Pro" panose="020B0503030403020204" pitchFamily="34" charset="0"/>
              <a:cs typeface="Arial"/>
            </a:rPr>
            <a:t>Contador - CRC/MT 014402 O-1</a:t>
          </a:r>
        </a:p>
      </xdr:txBody>
    </xdr:sp>
    <xdr:clientData/>
  </xdr:twoCellAnchor>
  <xdr:twoCellAnchor editAs="oneCell">
    <xdr:from>
      <xdr:col>1</xdr:col>
      <xdr:colOff>3902857</xdr:colOff>
      <xdr:row>56</xdr:row>
      <xdr:rowOff>231317</xdr:rowOff>
    </xdr:from>
    <xdr:to>
      <xdr:col>2</xdr:col>
      <xdr:colOff>2099787</xdr:colOff>
      <xdr:row>63</xdr:row>
      <xdr:rowOff>139654</xdr:rowOff>
    </xdr:to>
    <xdr:sp macro="" textlink="">
      <xdr:nvSpPr>
        <xdr:cNvPr id="14" name="Text Box 5"/>
        <xdr:cNvSpPr txBox="1">
          <a:spLocks noChangeArrowheads="1"/>
        </xdr:cNvSpPr>
      </xdr:nvSpPr>
      <xdr:spPr bwMode="auto">
        <a:xfrm>
          <a:off x="4541032" y="14709317"/>
          <a:ext cx="5216855" cy="157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/>
          <a:r>
            <a:rPr lang="pt-BR" sz="1300" b="1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CÉSAR FERNANDO BERRIEL VIDOTTO</a:t>
          </a:r>
          <a:endParaRPr lang="pt-BR" sz="1300">
            <a:effectLst/>
            <a:latin typeface="Myriad Pro" panose="020B0503030403020204" pitchFamily="34" charset="0"/>
            <a:cs typeface="Arial" pitchFamily="34" charset="0"/>
          </a:endParaRPr>
        </a:p>
        <a:p>
          <a:pPr algn="ctr" rtl="0"/>
          <a:r>
            <a:rPr lang="pt-BR" sz="1300" b="0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Diretor Administrativo</a:t>
          </a:r>
          <a:endParaRPr lang="pt-BR" sz="1300" b="0" i="0" u="none" strike="noStrike" baseline="0">
            <a:solidFill>
              <a:srgbClr val="000000"/>
            </a:solidFill>
            <a:latin typeface="Myriad Pro" panose="020B0503030403020204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1473530</xdr:colOff>
      <xdr:row>65</xdr:row>
      <xdr:rowOff>39585</xdr:rowOff>
    </xdr:from>
    <xdr:to>
      <xdr:col>1</xdr:col>
      <xdr:colOff>5073530</xdr:colOff>
      <xdr:row>70</xdr:row>
      <xdr:rowOff>213715</xdr:rowOff>
    </xdr:to>
    <xdr:sp macro="" textlink="">
      <xdr:nvSpPr>
        <xdr:cNvPr id="15" name="Text Box 5"/>
        <xdr:cNvSpPr txBox="1">
          <a:spLocks noChangeArrowheads="1"/>
        </xdr:cNvSpPr>
      </xdr:nvSpPr>
      <xdr:spPr bwMode="auto">
        <a:xfrm>
          <a:off x="2111705" y="16660710"/>
          <a:ext cx="3600000" cy="1364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/>
          <a:r>
            <a:rPr lang="pt-BR" sz="1300" b="1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PAULO MARCIO PINHEIRO MACEDO</a:t>
          </a:r>
          <a:endParaRPr lang="pt-BR" sz="1300">
            <a:effectLst/>
            <a:latin typeface="Myriad Pro" panose="020B0503030403020204" pitchFamily="34" charset="0"/>
            <a:cs typeface="Arial" pitchFamily="34" charset="0"/>
          </a:endParaRPr>
        </a:p>
        <a:p>
          <a:pPr algn="ctr" rtl="0"/>
          <a:r>
            <a:rPr lang="pt-BR" sz="1300" b="0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Diretor de Relacionamento com Cliente</a:t>
          </a:r>
          <a:endParaRPr lang="pt-BR" sz="1300">
            <a:effectLst/>
            <a:latin typeface="Myriad Pro" panose="020B0503030403020204" pitchFamily="34" charset="0"/>
            <a:cs typeface="Arial" pitchFamily="34" charset="0"/>
          </a:endParaRPr>
        </a:p>
        <a:p>
          <a:pPr algn="ctr" rtl="0">
            <a:defRPr sz="1000"/>
          </a:pPr>
          <a:endParaRPr lang="pt-BR" sz="1300" b="0" i="0" u="none" strike="noStrike" baseline="0">
            <a:solidFill>
              <a:srgbClr val="000000"/>
            </a:solidFill>
            <a:latin typeface="Myriad Pro" panose="020B0503030403020204" pitchFamily="34" charset="0"/>
            <a:cs typeface="Arial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122465</xdr:colOff>
      <xdr:row>1</xdr:row>
      <xdr:rowOff>95284</xdr:rowOff>
    </xdr:from>
    <xdr:to>
      <xdr:col>4</xdr:col>
      <xdr:colOff>2068939</xdr:colOff>
      <xdr:row>5</xdr:row>
      <xdr:rowOff>95253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394" y="299391"/>
          <a:ext cx="11566724" cy="125182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</xdr:row>
      <xdr:rowOff>244905</xdr:rowOff>
    </xdr:from>
    <xdr:to>
      <xdr:col>2</xdr:col>
      <xdr:colOff>783772</xdr:colOff>
      <xdr:row>59</xdr:row>
      <xdr:rowOff>186395</xdr:rowOff>
    </xdr:to>
    <xdr:sp macro="" textlink="">
      <xdr:nvSpPr>
        <xdr:cNvPr id="8" name="Text Box 4"/>
        <xdr:cNvSpPr txBox="1">
          <a:spLocks noChangeArrowheads="1"/>
        </xdr:cNvSpPr>
      </xdr:nvSpPr>
      <xdr:spPr bwMode="auto">
        <a:xfrm>
          <a:off x="619125" y="18310655"/>
          <a:ext cx="3498397" cy="1052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 eaLnBrk="1" fontAlgn="auto" latinLnBrk="0" hangingPunct="1"/>
          <a:r>
            <a:rPr lang="pt-BR" sz="1300" b="1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CLEBERSON ANTÔNIO SÁVIO GOMES</a:t>
          </a:r>
          <a:endParaRPr lang="pt-BR" sz="1300" b="0" i="0" baseline="0">
            <a:effectLst/>
            <a:latin typeface="Myriad Pro" panose="020B0503030403020204" pitchFamily="34" charset="0"/>
            <a:ea typeface="+mn-ea"/>
            <a:cs typeface="Arial" pitchFamily="34" charset="0"/>
          </a:endParaRPr>
        </a:p>
        <a:p>
          <a:pPr algn="ctr" rtl="0" eaLnBrk="1" fontAlgn="auto" latinLnBrk="0" hangingPunct="1"/>
          <a:r>
            <a:rPr lang="pt-BR" sz="1300" b="0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Diretor Presidente </a:t>
          </a:r>
          <a:endParaRPr lang="pt-BR" sz="1300" b="0" i="0" u="none" strike="noStrike" baseline="0">
            <a:solidFill>
              <a:srgbClr val="000000"/>
            </a:solidFill>
            <a:latin typeface="Myriad Pro" panose="020B0503030403020204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3</xdr:col>
      <xdr:colOff>683252</xdr:colOff>
      <xdr:row>56</xdr:row>
      <xdr:rowOff>300241</xdr:rowOff>
    </xdr:from>
    <xdr:to>
      <xdr:col>5</xdr:col>
      <xdr:colOff>24216</xdr:colOff>
      <xdr:row>60</xdr:row>
      <xdr:rowOff>242638</xdr:rowOff>
    </xdr:to>
    <xdr:sp macro="" textlink="">
      <xdr:nvSpPr>
        <xdr:cNvPr id="9" name="Text Box 5"/>
        <xdr:cNvSpPr txBox="1">
          <a:spLocks noChangeArrowheads="1"/>
        </xdr:cNvSpPr>
      </xdr:nvSpPr>
      <xdr:spPr bwMode="auto">
        <a:xfrm>
          <a:off x="8858877" y="18365991"/>
          <a:ext cx="3595464" cy="1355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/>
          <a:r>
            <a:rPr lang="pt-BR" sz="1300" b="1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SOCRATES FARIAS DE BARROS</a:t>
          </a:r>
          <a:endParaRPr lang="pt-BR" sz="1300">
            <a:effectLst/>
            <a:latin typeface="Myriad Pro" panose="020B0503030403020204" pitchFamily="34" charset="0"/>
            <a:cs typeface="Arial" pitchFamily="34" charset="0"/>
          </a:endParaRPr>
        </a:p>
        <a:p>
          <a:pPr algn="ctr" rtl="0"/>
          <a:r>
            <a:rPr lang="pt-BR" sz="1300" b="0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Diretor de Tecnologia da Informação e Comunicação</a:t>
          </a:r>
          <a:endParaRPr lang="pt-BR" sz="1300">
            <a:effectLst/>
            <a:latin typeface="Myriad Pro" panose="020B0503030403020204" pitchFamily="34" charset="0"/>
            <a:cs typeface="Arial" pitchFamily="34" charset="0"/>
          </a:endParaRPr>
        </a:p>
        <a:p>
          <a:pPr algn="ctr" rtl="0">
            <a:defRPr sz="1000"/>
          </a:pPr>
          <a:endParaRPr lang="pt-BR" sz="1300" b="0" i="0" u="none" strike="noStrike" baseline="0">
            <a:solidFill>
              <a:srgbClr val="000000"/>
            </a:solidFill>
            <a:latin typeface="Myriad Pro" panose="020B0503030403020204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2</xdr:col>
      <xdr:colOff>4281836</xdr:colOff>
      <xdr:row>61</xdr:row>
      <xdr:rowOff>285852</xdr:rowOff>
    </xdr:from>
    <xdr:to>
      <xdr:col>4</xdr:col>
      <xdr:colOff>983014</xdr:colOff>
      <xdr:row>65</xdr:row>
      <xdr:rowOff>64055</xdr:rowOff>
    </xdr:to>
    <xdr:sp macro="" textlink="">
      <xdr:nvSpPr>
        <xdr:cNvPr id="10" name="Text Box 7"/>
        <xdr:cNvSpPr txBox="1">
          <a:spLocks noChangeArrowheads="1"/>
        </xdr:cNvSpPr>
      </xdr:nvSpPr>
      <xdr:spPr bwMode="auto">
        <a:xfrm>
          <a:off x="7615586" y="20066102"/>
          <a:ext cx="3590928" cy="794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>
            <a:defRPr sz="1000"/>
          </a:pPr>
          <a:r>
            <a:rPr lang="pt-BR" sz="1300" b="1" i="0" u="none" strike="noStrike" baseline="0">
              <a:solidFill>
                <a:srgbClr val="000000"/>
              </a:solidFill>
              <a:latin typeface="Myriad Pro" panose="020B0503030403020204" pitchFamily="34" charset="0"/>
              <a:cs typeface="Arial"/>
            </a:rPr>
            <a:t>ALCINDO FERNANDO DA SILVA</a:t>
          </a:r>
        </a:p>
        <a:p>
          <a:pPr algn="ctr" rtl="0">
            <a:defRPr sz="1000"/>
          </a:pPr>
          <a:r>
            <a:rPr lang="pt-BR" sz="1300" b="0" i="0" u="none" strike="noStrike" baseline="0">
              <a:solidFill>
                <a:srgbClr val="000000"/>
              </a:solidFill>
              <a:latin typeface="Myriad Pro" panose="020B0503030403020204" pitchFamily="34" charset="0"/>
              <a:cs typeface="Arial"/>
            </a:rPr>
            <a:t>Contador - CRC/MT 014402 O-1</a:t>
          </a:r>
        </a:p>
      </xdr:txBody>
    </xdr:sp>
    <xdr:clientData/>
  </xdr:twoCellAnchor>
  <xdr:twoCellAnchor editAs="oneCell">
    <xdr:from>
      <xdr:col>2</xdr:col>
      <xdr:colOff>908051</xdr:colOff>
      <xdr:row>55</xdr:row>
      <xdr:rowOff>498904</xdr:rowOff>
    </xdr:from>
    <xdr:to>
      <xdr:col>3</xdr:col>
      <xdr:colOff>940708</xdr:colOff>
      <xdr:row>60</xdr:row>
      <xdr:rowOff>153737</xdr:rowOff>
    </xdr:to>
    <xdr:sp macro="" textlink="">
      <xdr:nvSpPr>
        <xdr:cNvPr id="11" name="Text Box 5"/>
        <xdr:cNvSpPr txBox="1">
          <a:spLocks noChangeArrowheads="1"/>
        </xdr:cNvSpPr>
      </xdr:nvSpPr>
      <xdr:spPr bwMode="auto">
        <a:xfrm>
          <a:off x="4241801" y="18056654"/>
          <a:ext cx="4874532" cy="15757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/>
          <a:r>
            <a:rPr lang="pt-BR" sz="1300" b="1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CÉSAR FERNANDO BERRIEL VIDOTTO</a:t>
          </a:r>
          <a:endParaRPr lang="pt-BR" sz="1300">
            <a:effectLst/>
            <a:latin typeface="Myriad Pro" panose="020B0503030403020204" pitchFamily="34" charset="0"/>
            <a:cs typeface="Arial" pitchFamily="34" charset="0"/>
          </a:endParaRPr>
        </a:p>
        <a:p>
          <a:pPr algn="ctr" rtl="0"/>
          <a:r>
            <a:rPr lang="pt-BR" sz="1300" b="0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Diretor Administrativo</a:t>
          </a:r>
          <a:endParaRPr lang="pt-BR" sz="1300" b="0" i="0" u="none" strike="noStrike" baseline="0">
            <a:solidFill>
              <a:srgbClr val="000000"/>
            </a:solidFill>
            <a:latin typeface="Myriad Pro" panose="020B0503030403020204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1485900</xdr:colOff>
      <xdr:row>61</xdr:row>
      <xdr:rowOff>108382</xdr:rowOff>
    </xdr:from>
    <xdr:to>
      <xdr:col>2</xdr:col>
      <xdr:colOff>2364472</xdr:colOff>
      <xdr:row>67</xdr:row>
      <xdr:rowOff>37171</xdr:rowOff>
    </xdr:to>
    <xdr:sp macro="" textlink="">
      <xdr:nvSpPr>
        <xdr:cNvPr id="12" name="Text Box 5"/>
        <xdr:cNvSpPr txBox="1">
          <a:spLocks noChangeArrowheads="1"/>
        </xdr:cNvSpPr>
      </xdr:nvSpPr>
      <xdr:spPr bwMode="auto">
        <a:xfrm>
          <a:off x="2105025" y="19888632"/>
          <a:ext cx="3593197" cy="13575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/>
          <a:r>
            <a:rPr lang="pt-BR" sz="1300" b="1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PAULO MARCIO PINHEIRO MACEDO</a:t>
          </a:r>
          <a:endParaRPr lang="pt-BR" sz="1300">
            <a:effectLst/>
            <a:latin typeface="Myriad Pro" panose="020B0503030403020204" pitchFamily="34" charset="0"/>
            <a:cs typeface="Arial" pitchFamily="34" charset="0"/>
          </a:endParaRPr>
        </a:p>
        <a:p>
          <a:pPr algn="ctr" rtl="0"/>
          <a:r>
            <a:rPr lang="pt-BR" sz="1300" b="0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Diretor de Relacionamento com Cliente</a:t>
          </a:r>
          <a:endParaRPr lang="pt-BR" sz="1300">
            <a:effectLst/>
            <a:latin typeface="Myriad Pro" panose="020B0503030403020204" pitchFamily="34" charset="0"/>
            <a:cs typeface="Arial" pitchFamily="34" charset="0"/>
          </a:endParaRPr>
        </a:p>
        <a:p>
          <a:pPr algn="ctr" rtl="0">
            <a:defRPr sz="1000"/>
          </a:pPr>
          <a:endParaRPr lang="pt-BR" sz="1300" b="0" i="0" u="none" strike="noStrike" baseline="0">
            <a:solidFill>
              <a:srgbClr val="000000"/>
            </a:solidFill>
            <a:latin typeface="Myriad Pro" panose="020B0503030403020204" pitchFamily="34" charset="0"/>
            <a:cs typeface="Arial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FI/UN_CONTABIL/2024/BALAN&#199;O%20PATRIMONIAL%20-%202023/2022/BALANCO%20PATRIMONIAL%20-%202021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. PATRIMONIAL 2022"/>
      <sheetName val="DMPL 2021-2022"/>
      <sheetName val="DRE 2021-2022"/>
      <sheetName val="DFC 2021-2022"/>
      <sheetName val="BAL. PATRIMONIAL 2020 COMPENS"/>
      <sheetName val="CALCULO CSLL IRPJ"/>
    </sheetNames>
    <sheetDataSet>
      <sheetData sheetId="0">
        <row r="54">
          <cell r="F54">
            <v>59492772.710000001</v>
          </cell>
        </row>
      </sheetData>
      <sheetData sheetId="1">
        <row r="18">
          <cell r="F18">
            <v>5388089.8600000003</v>
          </cell>
        </row>
      </sheetData>
      <sheetData sheetId="2">
        <row r="46">
          <cell r="C46">
            <v>-3271996.2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 bwMode="auto">
        <a:noFill/>
        <a:ln w="9525">
          <a:noFill/>
          <a:miter lim="800000"/>
          <a:headEnd/>
          <a:tailEnd/>
        </a:ln>
      </a:spPr>
      <a:bodyPr vertOverflow="clip" wrap="square" lIns="36576" tIns="27432" rIns="36576" bIns="0" anchor="t" upright="1"/>
      <a:lstStyle>
        <a:defPPr marL="0" marR="0" indent="0" algn="ctr" defTabSz="914400" rtl="0" eaLnBrk="1" fontAlgn="auto" latinLnBrk="0" hangingPunct="1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sz="1300" b="1" i="0" baseline="0">
            <a:latin typeface="Arial" pitchFamily="34" charset="0"/>
            <a:ea typeface="+mn-ea"/>
            <a:cs typeface="Arial" pitchFamily="34" charset="0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72"/>
  <sheetViews>
    <sheetView showGridLines="0" zoomScale="75" zoomScaleNormal="75" zoomScaleSheetLayoutView="80" workbookViewId="0">
      <selection activeCell="J81" sqref="J81"/>
    </sheetView>
  </sheetViews>
  <sheetFormatPr defaultColWidth="9.140625" defaultRowHeight="15.75"/>
  <cols>
    <col min="1" max="1" width="17.85546875" style="67" customWidth="1"/>
    <col min="2" max="2" width="53.5703125" style="152" customWidth="1"/>
    <col min="3" max="3" width="21.42578125" style="152" customWidth="1"/>
    <col min="4" max="4" width="22" style="153" bestFit="1" customWidth="1"/>
    <col min="5" max="5" width="52.85546875" style="153" customWidth="1"/>
    <col min="6" max="6" width="19.7109375" style="153" customWidth="1"/>
    <col min="7" max="7" width="21.42578125" style="153" bestFit="1" customWidth="1"/>
    <col min="8" max="8" width="22" style="58" bestFit="1" customWidth="1"/>
    <col min="9" max="10" width="23.42578125" style="67" bestFit="1" customWidth="1"/>
    <col min="11" max="16384" width="9.140625" style="67"/>
  </cols>
  <sheetData>
    <row r="2" spans="2:8" ht="19.5" customHeight="1">
      <c r="B2" s="154"/>
      <c r="C2" s="154"/>
      <c r="D2" s="154"/>
      <c r="E2" s="154"/>
      <c r="F2" s="154"/>
      <c r="G2" s="154"/>
      <c r="H2" s="160"/>
    </row>
    <row r="3" spans="2:8" ht="19.5" customHeight="1">
      <c r="B3" s="154"/>
      <c r="C3" s="154"/>
      <c r="D3" s="154"/>
      <c r="E3" s="154"/>
      <c r="F3" s="154"/>
      <c r="G3" s="154"/>
      <c r="H3" s="160"/>
    </row>
    <row r="4" spans="2:8" ht="19.5" customHeight="1">
      <c r="B4" s="235"/>
      <c r="C4" s="235"/>
      <c r="D4" s="235"/>
      <c r="E4" s="235"/>
      <c r="F4" s="235"/>
      <c r="G4" s="235"/>
      <c r="H4" s="160"/>
    </row>
    <row r="5" spans="2:8" ht="19.5" customHeight="1">
      <c r="B5" s="155"/>
      <c r="C5" s="155"/>
      <c r="D5" s="155"/>
      <c r="E5" s="155"/>
      <c r="F5" s="155"/>
      <c r="G5" s="155"/>
      <c r="H5" s="160"/>
    </row>
    <row r="6" spans="2:8" ht="19.5" customHeight="1">
      <c r="B6" s="155"/>
      <c r="C6" s="155"/>
      <c r="D6" s="155"/>
      <c r="E6" s="155"/>
      <c r="F6" s="155"/>
      <c r="G6" s="155"/>
      <c r="H6" s="160"/>
    </row>
    <row r="7" spans="2:8" ht="20.100000000000001" customHeight="1">
      <c r="B7" s="156"/>
      <c r="C7" s="156"/>
      <c r="D7" s="156"/>
      <c r="E7" s="156"/>
      <c r="F7" s="156"/>
      <c r="G7" s="156"/>
      <c r="H7" s="160"/>
    </row>
    <row r="8" spans="2:8" ht="20.100000000000001" customHeight="1">
      <c r="B8" s="236" t="s">
        <v>169</v>
      </c>
      <c r="C8" s="236"/>
      <c r="D8" s="236"/>
      <c r="E8" s="236"/>
      <c r="F8" s="236"/>
      <c r="G8" s="236"/>
      <c r="H8" s="160"/>
    </row>
    <row r="9" spans="2:8" ht="20.100000000000001" customHeight="1">
      <c r="B9" s="236" t="s">
        <v>64</v>
      </c>
      <c r="C9" s="236"/>
      <c r="D9" s="236"/>
      <c r="E9" s="236"/>
      <c r="F9" s="236"/>
      <c r="G9" s="236"/>
      <c r="H9" s="160"/>
    </row>
    <row r="10" spans="2:8" ht="20.100000000000001" customHeight="1">
      <c r="B10" s="243" t="s">
        <v>65</v>
      </c>
      <c r="C10" s="243"/>
      <c r="D10" s="243"/>
      <c r="E10" s="243"/>
      <c r="F10" s="243"/>
      <c r="G10" s="243"/>
      <c r="H10" s="160"/>
    </row>
    <row r="11" spans="2:8" ht="20.25" customHeight="1" thickBot="1">
      <c r="B11" s="158"/>
      <c r="C11" s="158"/>
      <c r="D11" s="158"/>
      <c r="E11" s="158"/>
      <c r="F11" s="158"/>
      <c r="G11" s="158"/>
      <c r="H11" s="160"/>
    </row>
    <row r="12" spans="2:8" ht="20.100000000000001" hidden="1" customHeight="1">
      <c r="B12" s="157"/>
      <c r="C12" s="158"/>
      <c r="D12" s="158"/>
      <c r="E12" s="158"/>
      <c r="F12" s="158"/>
      <c r="G12" s="159"/>
      <c r="H12" s="160"/>
    </row>
    <row r="13" spans="2:8" ht="19.5" customHeight="1" thickBot="1">
      <c r="B13" s="237" t="s">
        <v>148</v>
      </c>
      <c r="C13" s="238"/>
      <c r="D13" s="238"/>
      <c r="E13" s="238"/>
      <c r="F13" s="238"/>
      <c r="G13" s="239"/>
      <c r="H13" s="161"/>
    </row>
    <row r="14" spans="2:8" s="71" customFormat="1" ht="24.95" customHeight="1" thickBot="1">
      <c r="B14" s="240" t="s">
        <v>12</v>
      </c>
      <c r="C14" s="241"/>
      <c r="D14" s="242"/>
      <c r="E14" s="240" t="s">
        <v>13</v>
      </c>
      <c r="F14" s="241"/>
      <c r="G14" s="242"/>
      <c r="H14" s="162"/>
    </row>
    <row r="15" spans="2:8" s="71" customFormat="1" ht="15" customHeight="1">
      <c r="B15" s="231" t="s">
        <v>14</v>
      </c>
      <c r="C15" s="163" t="s">
        <v>141</v>
      </c>
      <c r="D15" s="164" t="s">
        <v>129</v>
      </c>
      <c r="E15" s="233" t="s">
        <v>14</v>
      </c>
      <c r="F15" s="164" t="s">
        <v>141</v>
      </c>
      <c r="G15" s="164" t="s">
        <v>129</v>
      </c>
      <c r="H15" s="73"/>
    </row>
    <row r="16" spans="2:8" s="71" customFormat="1" ht="15" customHeight="1" thickBot="1">
      <c r="B16" s="232"/>
      <c r="C16" s="165" t="s">
        <v>15</v>
      </c>
      <c r="D16" s="166" t="s">
        <v>15</v>
      </c>
      <c r="E16" s="234"/>
      <c r="F16" s="166" t="s">
        <v>15</v>
      </c>
      <c r="G16" s="166" t="s">
        <v>15</v>
      </c>
      <c r="H16" s="73"/>
    </row>
    <row r="17" spans="2:9" s="71" customFormat="1" ht="18" customHeight="1" thickBot="1">
      <c r="B17" s="194" t="s">
        <v>0</v>
      </c>
      <c r="C17" s="195">
        <f>C18+C22+C25+C32+C35+C38+C29</f>
        <v>85388505.099999994</v>
      </c>
      <c r="D17" s="196">
        <f>D18+D22+D25+D32+D35+D38+D29</f>
        <v>113851630.06</v>
      </c>
      <c r="E17" s="197" t="s">
        <v>0</v>
      </c>
      <c r="F17" s="196">
        <f>F18+F21+F25+F29+F35+F38</f>
        <v>15897764.85</v>
      </c>
      <c r="G17" s="196">
        <f>G18+G21+G25+G29+G35+G38</f>
        <v>71641169.140000001</v>
      </c>
      <c r="H17" s="73"/>
    </row>
    <row r="18" spans="2:9" s="71" customFormat="1" ht="18" customHeight="1">
      <c r="B18" s="167" t="s">
        <v>1</v>
      </c>
      <c r="C18" s="168">
        <f>C20+C19</f>
        <v>61330008.07</v>
      </c>
      <c r="D18" s="169">
        <f>D20+D19</f>
        <v>98103656.409999996</v>
      </c>
      <c r="E18" s="170" t="s">
        <v>3</v>
      </c>
      <c r="F18" s="171">
        <f>F19</f>
        <v>3168715.9899999998</v>
      </c>
      <c r="G18" s="171">
        <f>G19</f>
        <v>3725917.59</v>
      </c>
      <c r="H18" s="73"/>
    </row>
    <row r="19" spans="2:9" s="71" customFormat="1" ht="18" customHeight="1">
      <c r="B19" s="172" t="s">
        <v>2</v>
      </c>
      <c r="C19" s="69">
        <v>60750734.490000002</v>
      </c>
      <c r="D19" s="173">
        <v>67485760.980000004</v>
      </c>
      <c r="E19" s="174" t="s">
        <v>32</v>
      </c>
      <c r="F19" s="175">
        <f>3162625.15+6090.84</f>
        <v>3168715.9899999998</v>
      </c>
      <c r="G19" s="175">
        <v>3725917.59</v>
      </c>
      <c r="H19" s="73"/>
      <c r="I19" s="101"/>
    </row>
    <row r="20" spans="2:9" s="71" customFormat="1" ht="18" customHeight="1">
      <c r="B20" s="176" t="s">
        <v>109</v>
      </c>
      <c r="C20" s="69">
        <v>579273.57999999996</v>
      </c>
      <c r="D20" s="173">
        <v>30617895.43</v>
      </c>
      <c r="E20" s="177"/>
      <c r="F20" s="178"/>
      <c r="G20" s="178"/>
      <c r="H20" s="73"/>
    </row>
    <row r="21" spans="2:9" s="71" customFormat="1" ht="18" customHeight="1">
      <c r="B21" s="176"/>
      <c r="C21" s="95"/>
      <c r="D21" s="176"/>
      <c r="E21" s="170" t="s">
        <v>33</v>
      </c>
      <c r="F21" s="171">
        <f>F23+F22</f>
        <v>605080.13</v>
      </c>
      <c r="G21" s="171">
        <f>G23+G22</f>
        <v>46219605.600000001</v>
      </c>
      <c r="H21" s="73"/>
    </row>
    <row r="22" spans="2:9" s="71" customFormat="1" ht="18" customHeight="1">
      <c r="B22" s="179" t="s">
        <v>41</v>
      </c>
      <c r="C22" s="168">
        <f>C23</f>
        <v>4444865.2300000004</v>
      </c>
      <c r="D22" s="180">
        <f>D23</f>
        <v>5001010.54</v>
      </c>
      <c r="E22" s="174" t="s">
        <v>134</v>
      </c>
      <c r="F22" s="175">
        <v>555600.54</v>
      </c>
      <c r="G22" s="175">
        <v>46219605.600000001</v>
      </c>
      <c r="H22" s="73"/>
    </row>
    <row r="23" spans="2:9" s="71" customFormat="1" ht="18" customHeight="1">
      <c r="B23" s="172" t="s">
        <v>42</v>
      </c>
      <c r="C23" s="69">
        <v>4444865.2300000004</v>
      </c>
      <c r="D23" s="173">
        <v>5001010.54</v>
      </c>
      <c r="E23" s="174" t="s">
        <v>150</v>
      </c>
      <c r="F23" s="175">
        <v>49479.59</v>
      </c>
      <c r="G23" s="175">
        <v>0</v>
      </c>
      <c r="H23" s="73"/>
    </row>
    <row r="24" spans="2:9" s="71" customFormat="1" ht="18" customHeight="1">
      <c r="B24" s="176"/>
      <c r="C24" s="95"/>
      <c r="D24" s="176"/>
      <c r="E24" s="181"/>
      <c r="F24" s="176"/>
      <c r="G24" s="176"/>
      <c r="H24" s="73"/>
    </row>
    <row r="25" spans="2:9" s="71" customFormat="1" ht="18" customHeight="1">
      <c r="B25" s="182" t="s">
        <v>71</v>
      </c>
      <c r="C25" s="183">
        <f>C26+C27</f>
        <v>6258678.6899999995</v>
      </c>
      <c r="D25" s="171">
        <f>D26+D27</f>
        <v>598940.71</v>
      </c>
      <c r="E25" s="170" t="s">
        <v>19</v>
      </c>
      <c r="F25" s="171">
        <f>F27+F26</f>
        <v>8922.6200000000008</v>
      </c>
      <c r="G25" s="171">
        <f>G27+G26</f>
        <v>5456.28</v>
      </c>
      <c r="H25" s="73"/>
    </row>
    <row r="26" spans="2:9" s="71" customFormat="1" ht="18" customHeight="1">
      <c r="B26" s="111" t="s">
        <v>71</v>
      </c>
      <c r="C26" s="184">
        <f>75347.5+1902219.61+294243.56</f>
        <v>2271810.67</v>
      </c>
      <c r="D26" s="175">
        <v>598940.71</v>
      </c>
      <c r="E26" s="174" t="s">
        <v>34</v>
      </c>
      <c r="F26" s="175">
        <v>0</v>
      </c>
      <c r="G26" s="175">
        <v>0</v>
      </c>
      <c r="H26" s="73"/>
    </row>
    <row r="27" spans="2:9" s="71" customFormat="1" ht="18" customHeight="1">
      <c r="B27" s="176" t="s">
        <v>149</v>
      </c>
      <c r="C27" s="75">
        <v>3986868.02</v>
      </c>
      <c r="D27" s="178">
        <v>0</v>
      </c>
      <c r="E27" s="174" t="s">
        <v>142</v>
      </c>
      <c r="F27" s="175">
        <v>8922.6200000000008</v>
      </c>
      <c r="G27" s="175">
        <v>5456.28</v>
      </c>
      <c r="H27" s="73"/>
    </row>
    <row r="28" spans="2:9" s="71" customFormat="1" ht="18" customHeight="1">
      <c r="B28" s="176"/>
      <c r="C28" s="95"/>
      <c r="D28" s="176"/>
      <c r="E28" s="181"/>
      <c r="F28" s="176"/>
      <c r="G28" s="176"/>
      <c r="H28" s="73"/>
    </row>
    <row r="29" spans="2:9" s="71" customFormat="1" ht="18" customHeight="1">
      <c r="B29" s="182" t="s">
        <v>78</v>
      </c>
      <c r="C29" s="183">
        <f>C30</f>
        <v>31008.880000000001</v>
      </c>
      <c r="D29" s="171">
        <f>D30</f>
        <v>0</v>
      </c>
      <c r="E29" s="170" t="s">
        <v>133</v>
      </c>
      <c r="F29" s="171">
        <f>SUM(F30:F33)</f>
        <v>1826762.5499999998</v>
      </c>
      <c r="G29" s="171">
        <f>SUM(G30:G33)</f>
        <v>5324881.32</v>
      </c>
      <c r="H29" s="73"/>
    </row>
    <row r="30" spans="2:9" s="71" customFormat="1" ht="18" customHeight="1">
      <c r="B30" s="111" t="s">
        <v>78</v>
      </c>
      <c r="C30" s="184">
        <v>31008.880000000001</v>
      </c>
      <c r="D30" s="175">
        <v>0</v>
      </c>
      <c r="E30" s="174" t="s">
        <v>144</v>
      </c>
      <c r="F30" s="175">
        <v>76536.47</v>
      </c>
      <c r="G30" s="175">
        <v>12743.7</v>
      </c>
      <c r="H30" s="73"/>
    </row>
    <row r="31" spans="2:9" s="71" customFormat="1" ht="18" customHeight="1">
      <c r="B31" s="111"/>
      <c r="C31" s="184"/>
      <c r="D31" s="175"/>
      <c r="E31" s="174" t="s">
        <v>139</v>
      </c>
      <c r="F31" s="175">
        <v>895.12</v>
      </c>
      <c r="G31" s="175">
        <v>2574.12</v>
      </c>
      <c r="H31" s="73"/>
    </row>
    <row r="32" spans="2:9" s="71" customFormat="1" ht="18" customHeight="1">
      <c r="B32" s="182" t="s">
        <v>73</v>
      </c>
      <c r="C32" s="183">
        <f>C33</f>
        <v>377007.58</v>
      </c>
      <c r="D32" s="171">
        <f>D33</f>
        <v>50186.37</v>
      </c>
      <c r="E32" s="174" t="s">
        <v>143</v>
      </c>
      <c r="F32" s="175">
        <v>183.54</v>
      </c>
      <c r="G32" s="175">
        <v>764572.14</v>
      </c>
      <c r="H32" s="73"/>
    </row>
    <row r="33" spans="2:9" s="71" customFormat="1" ht="18" customHeight="1">
      <c r="B33" s="111" t="s">
        <v>74</v>
      </c>
      <c r="C33" s="184">
        <v>377007.58</v>
      </c>
      <c r="D33" s="175">
        <v>50186.37</v>
      </c>
      <c r="E33" s="174" t="s">
        <v>140</v>
      </c>
      <c r="F33" s="175">
        <v>1749147.42</v>
      </c>
      <c r="G33" s="175">
        <v>4544991.3600000003</v>
      </c>
      <c r="H33" s="73"/>
    </row>
    <row r="34" spans="2:9" s="71" customFormat="1" ht="18" customHeight="1">
      <c r="B34" s="111"/>
      <c r="C34" s="184"/>
      <c r="D34" s="175"/>
      <c r="E34" s="95"/>
      <c r="F34" s="176"/>
      <c r="G34" s="176"/>
      <c r="H34" s="73"/>
    </row>
    <row r="35" spans="2:9" s="71" customFormat="1" ht="18" customHeight="1">
      <c r="B35" s="182" t="s">
        <v>4</v>
      </c>
      <c r="C35" s="183">
        <f>C36</f>
        <v>12878408.529999999</v>
      </c>
      <c r="D35" s="171">
        <f>D36</f>
        <v>10050253.449999999</v>
      </c>
      <c r="E35" s="170" t="s">
        <v>36</v>
      </c>
      <c r="F35" s="171">
        <f>F36</f>
        <v>337812.33</v>
      </c>
      <c r="G35" s="171">
        <f>G36</f>
        <v>2542.79</v>
      </c>
      <c r="H35" s="73"/>
    </row>
    <row r="36" spans="2:9" s="71" customFormat="1" ht="18" customHeight="1">
      <c r="B36" s="111" t="str">
        <f>B35</f>
        <v>Impostos e Contribuições a Recuperar</v>
      </c>
      <c r="C36" s="184">
        <f>911563.94+11966844.59</f>
        <v>12878408.529999999</v>
      </c>
      <c r="D36" s="175">
        <f>9520770.92+529482.53</f>
        <v>10050253.449999999</v>
      </c>
      <c r="E36" s="174" t="s">
        <v>37</v>
      </c>
      <c r="F36" s="175">
        <v>337812.33</v>
      </c>
      <c r="G36" s="175">
        <v>2542.79</v>
      </c>
      <c r="H36" s="73"/>
    </row>
    <row r="37" spans="2:9" s="71" customFormat="1" ht="18" customHeight="1">
      <c r="B37" s="111"/>
      <c r="C37" s="184"/>
      <c r="D37" s="175"/>
      <c r="E37" s="174"/>
      <c r="F37" s="175"/>
      <c r="G37" s="175"/>
      <c r="H37" s="73"/>
    </row>
    <row r="38" spans="2:9" s="71" customFormat="1" ht="15.75" customHeight="1">
      <c r="B38" s="179" t="s">
        <v>43</v>
      </c>
      <c r="C38" s="168">
        <f>C39</f>
        <v>68528.12</v>
      </c>
      <c r="D38" s="180">
        <f>D39</f>
        <v>47582.58</v>
      </c>
      <c r="E38" s="170" t="s">
        <v>38</v>
      </c>
      <c r="F38" s="171">
        <f>F39</f>
        <v>9950471.2300000004</v>
      </c>
      <c r="G38" s="171">
        <f>G39</f>
        <v>16362765.560000001</v>
      </c>
      <c r="H38" s="73"/>
    </row>
    <row r="39" spans="2:9" s="71" customFormat="1" ht="15.75" customHeight="1">
      <c r="B39" s="172" t="s">
        <v>31</v>
      </c>
      <c r="C39" s="69">
        <v>68528.12</v>
      </c>
      <c r="D39" s="173">
        <v>47582.58</v>
      </c>
      <c r="E39" s="174" t="s">
        <v>39</v>
      </c>
      <c r="F39" s="175">
        <v>9950471.2300000004</v>
      </c>
      <c r="G39" s="175">
        <v>16362765.560000001</v>
      </c>
      <c r="H39" s="73"/>
    </row>
    <row r="40" spans="2:9" s="71" customFormat="1" ht="18" customHeight="1" thickBot="1">
      <c r="B40" s="185"/>
      <c r="C40" s="69"/>
      <c r="D40" s="186"/>
      <c r="E40" s="95"/>
      <c r="F40" s="176"/>
      <c r="G40" s="176"/>
      <c r="H40" s="73"/>
    </row>
    <row r="41" spans="2:9" s="71" customFormat="1" ht="19.5" thickBot="1">
      <c r="B41" s="194" t="s">
        <v>47</v>
      </c>
      <c r="C41" s="195">
        <f>C42+C46+C50+C54</f>
        <v>32931217.970000003</v>
      </c>
      <c r="D41" s="198">
        <f>D42+D46+D50+D54</f>
        <v>27272143.009999994</v>
      </c>
      <c r="E41" s="199" t="s">
        <v>47</v>
      </c>
      <c r="F41" s="198">
        <f>F45+F42</f>
        <v>7284913.6199999992</v>
      </c>
      <c r="G41" s="198">
        <f>G45+G42</f>
        <v>9989831.2199999988</v>
      </c>
      <c r="H41" s="73"/>
    </row>
    <row r="42" spans="2:9" s="71" customFormat="1" ht="18" customHeight="1">
      <c r="B42" s="182" t="s">
        <v>45</v>
      </c>
      <c r="C42" s="183">
        <f>C43+C44</f>
        <v>693794.04</v>
      </c>
      <c r="D42" s="171">
        <f>D43+D44</f>
        <v>4532114.8599999994</v>
      </c>
      <c r="E42" s="170" t="s">
        <v>147</v>
      </c>
      <c r="F42" s="171">
        <f>F43</f>
        <v>0</v>
      </c>
      <c r="G42" s="171">
        <f>G43</f>
        <v>67979.69</v>
      </c>
      <c r="H42" s="73"/>
    </row>
    <row r="43" spans="2:9" s="71" customFormat="1" ht="18" customHeight="1">
      <c r="B43" s="111" t="s">
        <v>4</v>
      </c>
      <c r="C43" s="184">
        <v>9748.81</v>
      </c>
      <c r="D43" s="175">
        <v>4089801.28</v>
      </c>
      <c r="E43" s="174" t="s">
        <v>32</v>
      </c>
      <c r="F43" s="175">
        <v>0</v>
      </c>
      <c r="G43" s="175">
        <v>67979.69</v>
      </c>
      <c r="H43" s="73"/>
      <c r="I43" s="101"/>
    </row>
    <row r="44" spans="2:9" s="71" customFormat="1" ht="18" customHeight="1">
      <c r="B44" s="111" t="s">
        <v>18</v>
      </c>
      <c r="C44" s="184">
        <v>684045.23</v>
      </c>
      <c r="D44" s="175">
        <v>442313.58</v>
      </c>
      <c r="E44" s="174"/>
      <c r="F44" s="175"/>
      <c r="G44" s="175"/>
      <c r="H44" s="73"/>
    </row>
    <row r="45" spans="2:9" s="71" customFormat="1" ht="18" customHeight="1">
      <c r="B45" s="111"/>
      <c r="C45" s="184"/>
      <c r="D45" s="175"/>
      <c r="E45" s="170" t="s">
        <v>40</v>
      </c>
      <c r="F45" s="171">
        <f>F47+F46</f>
        <v>7284913.6199999992</v>
      </c>
      <c r="G45" s="171">
        <f>G47+G46</f>
        <v>9921851.5299999993</v>
      </c>
      <c r="H45" s="73"/>
    </row>
    <row r="46" spans="2:9" s="71" customFormat="1" ht="18" customHeight="1">
      <c r="B46" s="182" t="s">
        <v>6</v>
      </c>
      <c r="C46" s="183">
        <f>C47+C48</f>
        <v>26369.65</v>
      </c>
      <c r="D46" s="171">
        <f>D47+D48</f>
        <v>26369.65</v>
      </c>
      <c r="E46" s="174" t="s">
        <v>140</v>
      </c>
      <c r="F46" s="175">
        <v>6240383.5199999996</v>
      </c>
      <c r="G46" s="175">
        <v>8877321.4299999997</v>
      </c>
      <c r="H46" s="73"/>
    </row>
    <row r="47" spans="2:9" s="71" customFormat="1" ht="18" customHeight="1">
      <c r="B47" s="111" t="s">
        <v>27</v>
      </c>
      <c r="C47" s="184">
        <v>24749.47</v>
      </c>
      <c r="D47" s="175">
        <v>24749.47</v>
      </c>
      <c r="E47" s="174" t="s">
        <v>35</v>
      </c>
      <c r="F47" s="175">
        <v>1044530.1</v>
      </c>
      <c r="G47" s="175">
        <v>1044530.1</v>
      </c>
      <c r="H47" s="73"/>
    </row>
    <row r="48" spans="2:9" s="71" customFormat="1" ht="18" customHeight="1" thickBot="1">
      <c r="B48" s="111" t="s">
        <v>28</v>
      </c>
      <c r="C48" s="184">
        <v>1620.18</v>
      </c>
      <c r="D48" s="175">
        <v>1620.18</v>
      </c>
      <c r="E48" s="170"/>
      <c r="F48" s="171"/>
      <c r="G48" s="171"/>
      <c r="H48" s="73"/>
    </row>
    <row r="49" spans="2:12" s="71" customFormat="1" ht="18" customHeight="1" thickBot="1">
      <c r="B49" s="176"/>
      <c r="C49" s="95"/>
      <c r="D49" s="176"/>
      <c r="E49" s="200" t="s">
        <v>80</v>
      </c>
      <c r="F49" s="198">
        <f>F54+F50+F57</f>
        <v>95137044.599999994</v>
      </c>
      <c r="G49" s="198">
        <f>G54+G50+G57</f>
        <v>59492772.710000001</v>
      </c>
      <c r="H49" s="73"/>
      <c r="I49" s="101"/>
    </row>
    <row r="50" spans="2:12" s="71" customFormat="1" ht="18" customHeight="1">
      <c r="B50" s="187" t="s">
        <v>7</v>
      </c>
      <c r="C50" s="183">
        <f>C51+C52</f>
        <v>17668742.770000003</v>
      </c>
      <c r="D50" s="171">
        <f>D51+D52</f>
        <v>13611850.149999999</v>
      </c>
      <c r="E50" s="170" t="s">
        <v>5</v>
      </c>
      <c r="F50" s="171">
        <f>F51+F52</f>
        <v>90600149.030000001</v>
      </c>
      <c r="G50" s="171">
        <f>G51+G52</f>
        <v>86600149.030000001</v>
      </c>
      <c r="H50" s="73"/>
    </row>
    <row r="51" spans="2:12" s="71" customFormat="1" ht="18" customHeight="1">
      <c r="B51" s="188" t="s">
        <v>8</v>
      </c>
      <c r="C51" s="184">
        <v>53409507.82</v>
      </c>
      <c r="D51" s="175">
        <v>44892520.799999997</v>
      </c>
      <c r="E51" s="174" t="s">
        <v>145</v>
      </c>
      <c r="F51" s="175">
        <v>100000000</v>
      </c>
      <c r="G51" s="175">
        <v>100000000</v>
      </c>
      <c r="H51" s="73"/>
      <c r="I51" s="101"/>
    </row>
    <row r="52" spans="2:12" s="71" customFormat="1" ht="18" customHeight="1">
      <c r="B52" s="188" t="s">
        <v>29</v>
      </c>
      <c r="C52" s="184">
        <v>-35740765.049999997</v>
      </c>
      <c r="D52" s="175">
        <v>-31280670.649999999</v>
      </c>
      <c r="E52" s="174" t="s">
        <v>146</v>
      </c>
      <c r="F52" s="175">
        <v>-9399850.9700000007</v>
      </c>
      <c r="G52" s="175">
        <v>-13399850.970000001</v>
      </c>
      <c r="H52" s="73"/>
    </row>
    <row r="53" spans="2:12" s="71" customFormat="1" ht="18" customHeight="1">
      <c r="B53" s="188"/>
      <c r="C53" s="184"/>
      <c r="D53" s="175"/>
      <c r="E53" s="174"/>
      <c r="F53" s="175"/>
      <c r="G53" s="175"/>
      <c r="H53" s="73"/>
      <c r="I53" s="101"/>
    </row>
    <row r="54" spans="2:12" s="71" customFormat="1" ht="18" customHeight="1">
      <c r="B54" s="187" t="s">
        <v>46</v>
      </c>
      <c r="C54" s="183">
        <f>C55+C56+C57</f>
        <v>14542311.509999998</v>
      </c>
      <c r="D54" s="171">
        <f>D55+D56+D57</f>
        <v>9101808.3499999978</v>
      </c>
      <c r="E54" s="170" t="s">
        <v>127</v>
      </c>
      <c r="F54" s="189">
        <f>F55</f>
        <v>36643593.920000002</v>
      </c>
      <c r="G54" s="189">
        <f>G55</f>
        <v>13450000</v>
      </c>
      <c r="H54" s="73"/>
      <c r="I54" s="101"/>
    </row>
    <row r="55" spans="2:12" s="71" customFormat="1" ht="18" customHeight="1">
      <c r="B55" s="188" t="s">
        <v>49</v>
      </c>
      <c r="C55" s="184">
        <v>48449972.829999998</v>
      </c>
      <c r="D55" s="175">
        <v>41142699.109999999</v>
      </c>
      <c r="E55" s="174" t="s">
        <v>128</v>
      </c>
      <c r="F55" s="175">
        <f>13450000+23193593.92</f>
        <v>36643593.920000002</v>
      </c>
      <c r="G55" s="175">
        <v>13450000</v>
      </c>
      <c r="H55" s="73"/>
      <c r="I55" s="101"/>
    </row>
    <row r="56" spans="2:12" s="71" customFormat="1" ht="18" customHeight="1">
      <c r="B56" s="176" t="s">
        <v>50</v>
      </c>
      <c r="C56" s="69">
        <v>1324455.08</v>
      </c>
      <c r="D56" s="173">
        <v>1324455.08</v>
      </c>
      <c r="E56" s="170"/>
      <c r="F56" s="189"/>
      <c r="G56" s="189"/>
      <c r="H56" s="73"/>
      <c r="I56" s="190"/>
      <c r="J56" s="101"/>
    </row>
    <row r="57" spans="2:12" s="71" customFormat="1" ht="18" customHeight="1">
      <c r="B57" s="111" t="s">
        <v>30</v>
      </c>
      <c r="C57" s="184">
        <v>-35232116.399999999</v>
      </c>
      <c r="D57" s="175">
        <v>-33365345.84</v>
      </c>
      <c r="E57" s="170" t="s">
        <v>51</v>
      </c>
      <c r="F57" s="189">
        <f>F58</f>
        <v>-32106698.350000001</v>
      </c>
      <c r="G57" s="189">
        <f>G58</f>
        <v>-40557376.32</v>
      </c>
      <c r="H57" s="73"/>
      <c r="I57" s="190"/>
      <c r="J57" s="190"/>
      <c r="K57" s="190"/>
      <c r="L57" s="190"/>
    </row>
    <row r="58" spans="2:12" s="71" customFormat="1" ht="18" customHeight="1">
      <c r="B58" s="176"/>
      <c r="C58" s="95"/>
      <c r="D58" s="176"/>
      <c r="E58" s="174" t="s">
        <v>51</v>
      </c>
      <c r="F58" s="175">
        <f>8579267.6-47019505.61+17923893-13450000-6591031.31+9863247.66-1412569.69</f>
        <v>-32106698.350000001</v>
      </c>
      <c r="G58" s="175">
        <f>8579267.6-47019505.61+17923893-13450000-6591031.31</f>
        <v>-40557376.32</v>
      </c>
      <c r="H58" s="73"/>
      <c r="I58" s="190"/>
      <c r="J58" s="190"/>
      <c r="K58" s="190"/>
      <c r="L58" s="190"/>
    </row>
    <row r="59" spans="2:12" s="71" customFormat="1" ht="18" customHeight="1" thickBot="1">
      <c r="B59" s="176"/>
      <c r="C59" s="69"/>
      <c r="D59" s="173"/>
      <c r="E59" s="191"/>
      <c r="F59" s="192"/>
      <c r="G59" s="192"/>
      <c r="H59" s="73"/>
      <c r="I59" s="73"/>
      <c r="J59" s="73"/>
      <c r="K59" s="190"/>
      <c r="L59" s="190"/>
    </row>
    <row r="60" spans="2:12" s="71" customFormat="1" ht="27" customHeight="1" thickBot="1">
      <c r="B60" s="194" t="s">
        <v>9</v>
      </c>
      <c r="C60" s="204">
        <f>C17+C41</f>
        <v>118319723.06999999</v>
      </c>
      <c r="D60" s="201">
        <f>D17+D41</f>
        <v>141123773.06999999</v>
      </c>
      <c r="E60" s="205" t="s">
        <v>10</v>
      </c>
      <c r="F60" s="201">
        <f>F17+F41+F49</f>
        <v>118319723.06999999</v>
      </c>
      <c r="G60" s="201">
        <f>G17+G41+G49</f>
        <v>141123773.06999999</v>
      </c>
      <c r="H60" s="73"/>
      <c r="I60" s="73"/>
      <c r="J60" s="73"/>
    </row>
    <row r="61" spans="2:12" ht="18" customHeight="1">
      <c r="B61" s="95"/>
      <c r="C61" s="202"/>
      <c r="D61" s="104"/>
      <c r="E61" s="95"/>
      <c r="F61" s="95"/>
      <c r="G61" s="203"/>
      <c r="H61" s="73"/>
      <c r="I61" s="73"/>
      <c r="J61" s="73"/>
    </row>
    <row r="62" spans="2:12" ht="18" customHeight="1">
      <c r="B62" s="95"/>
      <c r="C62" s="95"/>
      <c r="D62" s="95"/>
      <c r="E62" s="95"/>
      <c r="F62" s="95"/>
      <c r="G62" s="104" t="s">
        <v>81</v>
      </c>
      <c r="H62" s="73"/>
      <c r="I62" s="73"/>
      <c r="J62" s="73"/>
    </row>
    <row r="63" spans="2:12" ht="18" customHeight="1">
      <c r="B63" s="95"/>
      <c r="C63" s="95"/>
      <c r="D63" s="95"/>
      <c r="E63" s="95"/>
      <c r="F63" s="95"/>
      <c r="G63" s="95"/>
      <c r="H63" s="73"/>
      <c r="I63" s="71"/>
      <c r="J63" s="71"/>
    </row>
    <row r="64" spans="2:12" ht="18" customHeight="1">
      <c r="B64" s="95"/>
      <c r="C64" s="95"/>
      <c r="D64" s="95"/>
      <c r="E64" s="95"/>
      <c r="F64" s="95"/>
      <c r="G64" s="95"/>
      <c r="H64" s="73"/>
      <c r="I64" s="71"/>
      <c r="J64" s="71"/>
    </row>
    <row r="65" spans="2:10" ht="18" customHeight="1">
      <c r="B65" s="95"/>
      <c r="C65" s="95"/>
      <c r="D65" s="95"/>
      <c r="E65" s="95"/>
      <c r="F65" s="95"/>
      <c r="G65" s="95"/>
      <c r="H65" s="73"/>
      <c r="I65" s="71"/>
      <c r="J65" s="71"/>
    </row>
    <row r="66" spans="2:10" ht="18" customHeight="1">
      <c r="B66" s="95"/>
      <c r="C66" s="95"/>
      <c r="D66" s="95"/>
      <c r="E66" s="95"/>
      <c r="F66" s="95"/>
      <c r="G66" s="95"/>
      <c r="H66" s="71"/>
      <c r="I66" s="71"/>
      <c r="J66" s="71"/>
    </row>
    <row r="67" spans="2:10" ht="18" customHeight="1">
      <c r="B67" s="95"/>
      <c r="C67" s="95"/>
      <c r="D67" s="95"/>
      <c r="E67" s="95"/>
      <c r="F67" s="95"/>
      <c r="G67" s="95"/>
      <c r="H67" s="56"/>
    </row>
    <row r="68" spans="2:10" ht="16.5">
      <c r="B68" s="95"/>
      <c r="C68" s="95"/>
      <c r="D68" s="95"/>
      <c r="E68" s="95"/>
      <c r="F68" s="95"/>
      <c r="G68" s="95"/>
    </row>
    <row r="69" spans="2:10" ht="16.5">
      <c r="B69" s="95"/>
      <c r="C69" s="95"/>
      <c r="D69" s="95"/>
      <c r="E69" s="51"/>
      <c r="F69" s="51"/>
      <c r="G69" s="95"/>
    </row>
    <row r="70" spans="2:10" ht="16.5">
      <c r="B70" s="95"/>
      <c r="C70" s="95"/>
      <c r="D70" s="95"/>
      <c r="E70" s="95"/>
      <c r="F70" s="95"/>
      <c r="G70" s="95"/>
    </row>
    <row r="71" spans="2:10" ht="16.5">
      <c r="B71" s="95"/>
      <c r="C71" s="95"/>
      <c r="D71" s="95"/>
      <c r="E71" s="193"/>
      <c r="F71" s="193"/>
      <c r="G71" s="95"/>
    </row>
    <row r="72" spans="2:10" ht="16.5">
      <c r="B72" s="95"/>
      <c r="C72" s="95"/>
      <c r="D72" s="95"/>
      <c r="E72" s="95"/>
      <c r="F72" s="95"/>
      <c r="G72" s="95"/>
    </row>
  </sheetData>
  <mergeCells count="9">
    <mergeCell ref="B15:B16"/>
    <mergeCell ref="E15:E16"/>
    <mergeCell ref="B4:G4"/>
    <mergeCell ref="B9:G9"/>
    <mergeCell ref="B13:G13"/>
    <mergeCell ref="B14:D14"/>
    <mergeCell ref="E14:G14"/>
    <mergeCell ref="B10:G10"/>
    <mergeCell ref="B8:G8"/>
  </mergeCells>
  <printOptions horizontalCentered="1" verticalCentered="1"/>
  <pageMargins left="0" right="0" top="0" bottom="0" header="0.15748031496062992" footer="0.51181102362204722"/>
  <pageSetup paperSize="9" scale="5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0"/>
  <sheetViews>
    <sheetView showGridLines="0" topLeftCell="A17" zoomScale="75" zoomScaleNormal="75" zoomScaleSheetLayoutView="74" zoomScalePageLayoutView="55" workbookViewId="0">
      <selection activeCell="K28" sqref="K28"/>
    </sheetView>
  </sheetViews>
  <sheetFormatPr defaultColWidth="9.140625" defaultRowHeight="12.75"/>
  <cols>
    <col min="1" max="1" width="9.140625" style="31"/>
    <col min="2" max="2" width="46.28515625" style="28" customWidth="1"/>
    <col min="3" max="3" width="34.7109375" style="29" customWidth="1"/>
    <col min="4" max="4" width="37.5703125" style="30" customWidth="1"/>
    <col min="5" max="5" width="33.7109375" style="29" customWidth="1"/>
    <col min="6" max="6" width="27.140625" style="29" customWidth="1"/>
    <col min="7" max="7" width="15.42578125" style="28" bestFit="1" customWidth="1"/>
    <col min="8" max="8" width="1.42578125" style="31" customWidth="1"/>
    <col min="9" max="9" width="18.42578125" style="31" bestFit="1" customWidth="1"/>
    <col min="10" max="11" width="16.140625" style="31" bestFit="1" customWidth="1"/>
    <col min="12" max="12" width="16.85546875" style="31" bestFit="1" customWidth="1"/>
    <col min="13" max="13" width="16.140625" style="31" bestFit="1" customWidth="1"/>
    <col min="14" max="16384" width="9.140625" style="31"/>
  </cols>
  <sheetData>
    <row r="2" spans="1:9" ht="27.75" customHeight="1">
      <c r="A2" s="33"/>
      <c r="B2" s="244"/>
      <c r="C2" s="244"/>
      <c r="D2" s="244"/>
      <c r="E2" s="244"/>
      <c r="F2" s="244"/>
      <c r="G2" s="32"/>
      <c r="H2" s="33"/>
      <c r="I2" s="33"/>
    </row>
    <row r="3" spans="1:9" ht="27.75" customHeight="1">
      <c r="A3" s="33"/>
      <c r="B3" s="34"/>
      <c r="C3" s="34"/>
      <c r="D3" s="34"/>
      <c r="E3" s="34"/>
      <c r="F3" s="34"/>
      <c r="G3" s="32"/>
      <c r="H3" s="33"/>
      <c r="I3" s="33"/>
    </row>
    <row r="4" spans="1:9" ht="27.75" customHeight="1">
      <c r="A4" s="33"/>
      <c r="B4" s="251"/>
      <c r="C4" s="251"/>
      <c r="D4" s="251"/>
      <c r="E4" s="251"/>
      <c r="F4" s="251"/>
      <c r="G4" s="35"/>
      <c r="H4" s="33"/>
      <c r="I4" s="33"/>
    </row>
    <row r="5" spans="1:9" ht="27.75" customHeight="1">
      <c r="A5" s="33"/>
      <c r="B5" s="36"/>
      <c r="C5" s="36"/>
      <c r="D5" s="36"/>
      <c r="E5" s="36"/>
      <c r="F5" s="36"/>
      <c r="G5" s="35"/>
      <c r="H5" s="33"/>
      <c r="I5" s="33"/>
    </row>
    <row r="6" spans="1:9" ht="27.75" customHeight="1">
      <c r="A6" s="33"/>
      <c r="B6" s="36"/>
      <c r="C6" s="36"/>
      <c r="D6" s="36"/>
      <c r="E6" s="36"/>
      <c r="F6" s="36"/>
      <c r="G6" s="35"/>
      <c r="H6" s="33"/>
      <c r="I6" s="33"/>
    </row>
    <row r="7" spans="1:9" ht="27.75" customHeight="1">
      <c r="A7" s="33"/>
      <c r="B7" s="236" t="s">
        <v>169</v>
      </c>
      <c r="C7" s="236"/>
      <c r="D7" s="236"/>
      <c r="E7" s="236"/>
      <c r="F7" s="236"/>
      <c r="G7" s="35"/>
      <c r="H7" s="33"/>
      <c r="I7" s="33"/>
    </row>
    <row r="8" spans="1:9" ht="27.75" customHeight="1">
      <c r="A8" s="33"/>
      <c r="B8" s="236" t="s">
        <v>64</v>
      </c>
      <c r="C8" s="236"/>
      <c r="D8" s="236"/>
      <c r="E8" s="236"/>
      <c r="F8" s="236"/>
      <c r="G8" s="35"/>
      <c r="H8" s="33"/>
      <c r="I8" s="33"/>
    </row>
    <row r="9" spans="1:9" ht="27.75" customHeight="1">
      <c r="A9" s="33"/>
      <c r="B9" s="236" t="s">
        <v>65</v>
      </c>
      <c r="C9" s="236"/>
      <c r="D9" s="236"/>
      <c r="E9" s="236"/>
      <c r="F9" s="236"/>
      <c r="G9" s="35"/>
      <c r="H9" s="33"/>
      <c r="I9" s="33"/>
    </row>
    <row r="10" spans="1:9" ht="27.75" customHeight="1" thickBot="1">
      <c r="A10" s="33"/>
      <c r="B10" s="36"/>
      <c r="C10" s="36"/>
      <c r="D10" s="36"/>
      <c r="E10" s="36"/>
      <c r="F10" s="36"/>
      <c r="G10" s="35"/>
      <c r="H10" s="33"/>
      <c r="I10" s="33"/>
    </row>
    <row r="11" spans="1:9" ht="27.75" customHeight="1" thickBot="1">
      <c r="B11" s="245" t="s">
        <v>151</v>
      </c>
      <c r="C11" s="246"/>
      <c r="D11" s="246"/>
      <c r="E11" s="246"/>
      <c r="F11" s="247"/>
    </row>
    <row r="12" spans="1:9" ht="46.5" customHeight="1">
      <c r="B12" s="249"/>
      <c r="C12" s="37" t="s">
        <v>70</v>
      </c>
      <c r="D12" s="37" t="s">
        <v>69</v>
      </c>
      <c r="E12" s="37" t="s">
        <v>68</v>
      </c>
      <c r="F12" s="37" t="s">
        <v>67</v>
      </c>
      <c r="G12" s="38"/>
    </row>
    <row r="13" spans="1:9" ht="27" customHeight="1" thickBot="1">
      <c r="B13" s="250"/>
      <c r="C13" s="39" t="s">
        <v>66</v>
      </c>
      <c r="D13" s="39" t="s">
        <v>66</v>
      </c>
      <c r="E13" s="39" t="s">
        <v>66</v>
      </c>
      <c r="F13" s="39" t="s">
        <v>66</v>
      </c>
      <c r="G13" s="38"/>
    </row>
    <row r="14" spans="1:9" ht="27.75" customHeight="1" thickBot="1">
      <c r="B14" s="210" t="s">
        <v>119</v>
      </c>
      <c r="C14" s="211">
        <v>55880438.729999997</v>
      </c>
      <c r="D14" s="211">
        <v>13450000</v>
      </c>
      <c r="E14" s="211">
        <v>-39354434.869999997</v>
      </c>
      <c r="F14" s="211">
        <f>SUM(C14:E14)</f>
        <v>29976003.859999992</v>
      </c>
      <c r="G14" s="38"/>
    </row>
    <row r="15" spans="1:9" ht="27.75" customHeight="1">
      <c r="B15" s="40" t="s">
        <v>138</v>
      </c>
      <c r="C15" s="41">
        <v>0</v>
      </c>
      <c r="D15" s="41">
        <v>0</v>
      </c>
      <c r="E15" s="41">
        <v>5388089.8600000003</v>
      </c>
      <c r="F15" s="41">
        <f>SUM(C15:E15)</f>
        <v>5388089.8600000003</v>
      </c>
      <c r="G15" s="38"/>
    </row>
    <row r="16" spans="1:9" ht="27.75" customHeight="1">
      <c r="B16" s="40" t="s">
        <v>20</v>
      </c>
      <c r="C16" s="41">
        <v>0</v>
      </c>
      <c r="D16" s="41">
        <v>0</v>
      </c>
      <c r="E16" s="41">
        <v>-6591031.3099999996</v>
      </c>
      <c r="F16" s="41">
        <f>SUM(C16:E16)</f>
        <v>-6591031.3099999996</v>
      </c>
      <c r="G16" s="38"/>
    </row>
    <row r="17" spans="2:8" s="44" customFormat="1" ht="27.75" customHeight="1">
      <c r="B17" s="40" t="s">
        <v>44</v>
      </c>
      <c r="C17" s="41">
        <v>0</v>
      </c>
      <c r="D17" s="42">
        <v>0</v>
      </c>
      <c r="E17" s="42">
        <v>0</v>
      </c>
      <c r="F17" s="41">
        <f t="shared" ref="F17" si="0">SUM(C17:E17)</f>
        <v>0</v>
      </c>
      <c r="G17" s="43"/>
    </row>
    <row r="18" spans="2:8" s="44" customFormat="1" ht="27.75" customHeight="1" thickBot="1">
      <c r="B18" s="40" t="s">
        <v>120</v>
      </c>
      <c r="C18" s="41">
        <v>30719710.300000001</v>
      </c>
      <c r="D18" s="42">
        <v>0</v>
      </c>
      <c r="E18" s="42">
        <v>0</v>
      </c>
      <c r="F18" s="41">
        <f>SUM(C18:E18)</f>
        <v>30719710.300000001</v>
      </c>
      <c r="G18" s="43"/>
    </row>
    <row r="19" spans="2:8" s="44" customFormat="1" ht="27.75" customHeight="1" thickBot="1">
      <c r="B19" s="210" t="s">
        <v>130</v>
      </c>
      <c r="C19" s="211">
        <f>SUM(C14:C18)</f>
        <v>86600149.030000001</v>
      </c>
      <c r="D19" s="211">
        <f>SUM(D14:D18)</f>
        <v>13450000</v>
      </c>
      <c r="E19" s="211">
        <f>E14+E15+E16+E17+E18</f>
        <v>-40557376.32</v>
      </c>
      <c r="F19" s="211">
        <f>SUM(C19:E19)</f>
        <v>59492772.710000001</v>
      </c>
      <c r="G19" s="43"/>
    </row>
    <row r="20" spans="2:8" s="44" customFormat="1" ht="27.75" customHeight="1">
      <c r="B20" s="40" t="s">
        <v>138</v>
      </c>
      <c r="C20" s="41">
        <v>0</v>
      </c>
      <c r="D20" s="41">
        <v>0</v>
      </c>
      <c r="E20" s="41">
        <v>9863247.6600000001</v>
      </c>
      <c r="F20" s="41">
        <f t="shared" ref="F20:F23" si="1">SUM(C20:E20)</f>
        <v>9863247.6600000001</v>
      </c>
      <c r="G20" s="43"/>
    </row>
    <row r="21" spans="2:8" s="44" customFormat="1" ht="27.75" customHeight="1">
      <c r="B21" s="40" t="s">
        <v>20</v>
      </c>
      <c r="C21" s="41">
        <v>0</v>
      </c>
      <c r="D21" s="41">
        <v>0</v>
      </c>
      <c r="E21" s="41">
        <v>-1412569.69</v>
      </c>
      <c r="F21" s="41">
        <f t="shared" si="1"/>
        <v>-1412569.69</v>
      </c>
      <c r="G21" s="43"/>
    </row>
    <row r="22" spans="2:8" s="44" customFormat="1" ht="27.75" customHeight="1">
      <c r="B22" s="40" t="s">
        <v>44</v>
      </c>
      <c r="C22" s="41">
        <v>0</v>
      </c>
      <c r="D22" s="42">
        <v>0</v>
      </c>
      <c r="E22" s="42">
        <v>0</v>
      </c>
      <c r="F22" s="41">
        <f t="shared" si="1"/>
        <v>0</v>
      </c>
      <c r="G22" s="43"/>
    </row>
    <row r="23" spans="2:8" s="44" customFormat="1" ht="27.75" customHeight="1" thickBot="1">
      <c r="B23" s="45" t="s">
        <v>120</v>
      </c>
      <c r="C23" s="46">
        <v>4000000</v>
      </c>
      <c r="D23" s="46">
        <v>23193593.920000002</v>
      </c>
      <c r="E23" s="46">
        <v>0</v>
      </c>
      <c r="F23" s="46">
        <f t="shared" si="1"/>
        <v>27193593.920000002</v>
      </c>
      <c r="G23" s="43"/>
    </row>
    <row r="24" spans="2:8" ht="27.75" customHeight="1" thickBot="1">
      <c r="B24" s="210" t="s">
        <v>152</v>
      </c>
      <c r="C24" s="212">
        <f>SUM(C19:C23)</f>
        <v>90600149.030000001</v>
      </c>
      <c r="D24" s="212">
        <f>SUM(D19:D23)</f>
        <v>36643593.920000002</v>
      </c>
      <c r="E24" s="212">
        <f>SUM(E19:E23)</f>
        <v>-32106698.350000001</v>
      </c>
      <c r="F24" s="213">
        <f>SUM(C24:E24)</f>
        <v>95137044.599999994</v>
      </c>
      <c r="G24" s="47"/>
    </row>
    <row r="25" spans="2:8" s="33" customFormat="1" ht="27.75" customHeight="1">
      <c r="B25" s="48"/>
      <c r="C25" s="48"/>
      <c r="D25" s="48"/>
      <c r="E25" s="48"/>
      <c r="F25" s="207" t="s">
        <v>81</v>
      </c>
      <c r="G25" s="38"/>
    </row>
    <row r="26" spans="2:8" s="33" customFormat="1" ht="27.75" customHeight="1">
      <c r="B26" s="48"/>
      <c r="C26" s="48"/>
      <c r="D26" s="48"/>
      <c r="E26" s="49"/>
      <c r="F26" s="207" t="s">
        <v>81</v>
      </c>
      <c r="G26" s="38"/>
    </row>
    <row r="27" spans="2:8" s="33" customFormat="1" ht="27.75" customHeight="1">
      <c r="B27" s="48"/>
      <c r="C27" s="48"/>
      <c r="D27" s="48"/>
      <c r="E27" s="49"/>
      <c r="F27" s="48"/>
      <c r="G27" s="38"/>
    </row>
    <row r="28" spans="2:8" s="33" customFormat="1" ht="27.75" customHeight="1">
      <c r="B28" s="48"/>
      <c r="C28" s="48"/>
      <c r="D28" s="48"/>
      <c r="E28" s="48"/>
      <c r="F28" s="48"/>
      <c r="G28" s="38"/>
    </row>
    <row r="29" spans="2:8" s="33" customFormat="1" ht="27.75" customHeight="1">
      <c r="B29" s="48"/>
      <c r="C29" s="48"/>
      <c r="D29" s="48"/>
      <c r="E29" s="48"/>
      <c r="F29" s="48"/>
      <c r="G29" s="43"/>
      <c r="H29" s="208"/>
    </row>
    <row r="30" spans="2:8" s="33" customFormat="1" ht="27.75" customHeight="1">
      <c r="B30" s="48"/>
      <c r="C30" s="48"/>
      <c r="D30" s="48"/>
      <c r="E30" s="48"/>
      <c r="F30" s="48"/>
      <c r="G30" s="38"/>
    </row>
    <row r="31" spans="2:8" s="33" customFormat="1" ht="27.75" customHeight="1">
      <c r="B31" s="48"/>
      <c r="C31" s="48"/>
      <c r="D31" s="48"/>
      <c r="E31" s="48"/>
      <c r="F31" s="48"/>
      <c r="G31" s="38"/>
    </row>
    <row r="32" spans="2:8" s="33" customFormat="1" ht="27.75" customHeight="1">
      <c r="B32" s="48"/>
      <c r="C32" s="48"/>
      <c r="D32" s="48"/>
      <c r="E32" s="48"/>
      <c r="F32" s="48"/>
      <c r="G32" s="38"/>
    </row>
    <row r="33" spans="2:8" s="33" customFormat="1" ht="27.75" customHeight="1">
      <c r="B33" s="48"/>
      <c r="C33" s="48"/>
      <c r="D33" s="48"/>
      <c r="E33" s="48"/>
      <c r="F33" s="48"/>
      <c r="G33" s="38"/>
    </row>
    <row r="34" spans="2:8" s="33" customFormat="1" ht="27.75" customHeight="1">
      <c r="B34" s="50"/>
      <c r="C34" s="48"/>
      <c r="D34" s="50"/>
      <c r="E34" s="48"/>
      <c r="F34" s="48"/>
      <c r="G34" s="38"/>
    </row>
    <row r="35" spans="2:8" s="33" customFormat="1" ht="27.75" customHeight="1">
      <c r="B35" s="48"/>
      <c r="C35" s="48"/>
      <c r="D35" s="48"/>
      <c r="E35" s="48"/>
      <c r="F35" s="48"/>
      <c r="G35" s="38"/>
    </row>
    <row r="36" spans="2:8" s="33" customFormat="1" ht="27.75" customHeight="1">
      <c r="B36" s="48"/>
      <c r="C36" s="48"/>
      <c r="D36" s="48"/>
      <c r="E36" s="48"/>
      <c r="F36" s="48"/>
      <c r="G36" s="38"/>
    </row>
    <row r="37" spans="2:8" s="33" customFormat="1" ht="27.75" customHeight="1">
      <c r="B37" s="48"/>
      <c r="C37" s="48"/>
      <c r="D37" s="48"/>
      <c r="E37" s="48"/>
      <c r="F37" s="48"/>
      <c r="G37" s="38"/>
    </row>
    <row r="38" spans="2:8" s="33" customFormat="1" ht="27.75" customHeight="1">
      <c r="B38" s="48"/>
      <c r="C38" s="48"/>
      <c r="D38" s="48"/>
      <c r="E38" s="51"/>
      <c r="F38" s="48"/>
      <c r="G38" s="43"/>
      <c r="H38" s="208"/>
    </row>
    <row r="39" spans="2:8" s="33" customFormat="1" ht="27.75" customHeight="1">
      <c r="B39" s="48"/>
      <c r="C39" s="48"/>
      <c r="D39" s="48"/>
      <c r="E39" s="209"/>
      <c r="F39" s="48"/>
      <c r="G39" s="38"/>
    </row>
    <row r="40" spans="2:8" s="33" customFormat="1" ht="15.75">
      <c r="B40" s="248"/>
      <c r="C40" s="248"/>
      <c r="D40" s="248"/>
      <c r="E40" s="248"/>
      <c r="F40" s="248"/>
      <c r="G40" s="38"/>
    </row>
  </sheetData>
  <mergeCells count="8">
    <mergeCell ref="B2:F2"/>
    <mergeCell ref="B9:F9"/>
    <mergeCell ref="B11:F11"/>
    <mergeCell ref="B40:F40"/>
    <mergeCell ref="B12:B13"/>
    <mergeCell ref="B4:F4"/>
    <mergeCell ref="B8:F8"/>
    <mergeCell ref="B7:F7"/>
  </mergeCells>
  <phoneticPr fontId="0" type="noConversion"/>
  <printOptions horizontalCentered="1"/>
  <pageMargins left="0.59055118110236227" right="0.39370078740157483" top="0.98425196850393704" bottom="0.78740157480314965" header="0.51181102362204722" footer="0.51181102362204722"/>
  <pageSetup paperSize="9" scale="52" orientation="portrait" r:id="rId1"/>
  <headerFooter alignWithMargins="0"/>
  <ignoredErrors>
    <ignoredError sqref="D24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63"/>
  <sheetViews>
    <sheetView showGridLines="0" zoomScale="77" zoomScaleNormal="77" workbookViewId="0">
      <selection activeCell="C34" sqref="C34"/>
    </sheetView>
  </sheetViews>
  <sheetFormatPr defaultColWidth="9.140625" defaultRowHeight="18.75"/>
  <cols>
    <col min="1" max="1" width="9.140625" style="56"/>
    <col min="2" max="2" width="100.140625" style="52" bestFit="1" customWidth="1"/>
    <col min="3" max="3" width="41.5703125" style="53" customWidth="1"/>
    <col min="4" max="4" width="41.5703125" style="54" customWidth="1"/>
    <col min="5" max="5" width="40.7109375" style="55" customWidth="1"/>
    <col min="6" max="7" width="41.5703125" style="55" customWidth="1"/>
    <col min="8" max="8" width="28.140625" style="56" customWidth="1"/>
    <col min="9" max="9" width="19.5703125" style="56" bestFit="1" customWidth="1"/>
    <col min="10" max="10" width="14.7109375" style="57" bestFit="1" customWidth="1"/>
    <col min="11" max="12" width="9.140625" style="56"/>
    <col min="13" max="13" width="21.28515625" style="58" customWidth="1"/>
    <col min="14" max="16384" width="9.140625" style="56"/>
  </cols>
  <sheetData>
    <row r="2" spans="2:20" ht="21" customHeight="1">
      <c r="B2" s="243"/>
      <c r="C2" s="243"/>
      <c r="D2" s="243"/>
      <c r="E2" s="32"/>
      <c r="F2" s="32"/>
      <c r="G2" s="32"/>
      <c r="H2" s="60"/>
    </row>
    <row r="3" spans="2:20" ht="21" customHeight="1">
      <c r="B3" s="32"/>
      <c r="C3" s="59"/>
      <c r="D3" s="214"/>
      <c r="E3" s="32"/>
      <c r="F3" s="32"/>
      <c r="G3" s="32"/>
      <c r="H3" s="60"/>
    </row>
    <row r="4" spans="2:20" ht="21" customHeight="1">
      <c r="B4" s="62"/>
      <c r="C4" s="61"/>
      <c r="D4" s="215"/>
      <c r="E4" s="62"/>
      <c r="F4" s="62"/>
      <c r="G4" s="62"/>
      <c r="H4" s="63"/>
      <c r="I4" s="63"/>
    </row>
    <row r="5" spans="2:20" ht="21" customHeight="1">
      <c r="B5" s="65"/>
      <c r="C5" s="64"/>
      <c r="D5" s="216"/>
      <c r="E5" s="65"/>
      <c r="F5" s="65"/>
      <c r="G5" s="65"/>
      <c r="H5" s="60"/>
    </row>
    <row r="6" spans="2:20" ht="21" customHeight="1">
      <c r="B6" s="65"/>
      <c r="C6" s="64"/>
      <c r="D6" s="216"/>
      <c r="E6" s="65"/>
      <c r="F6" s="65"/>
      <c r="G6" s="65"/>
      <c r="H6" s="60"/>
    </row>
    <row r="7" spans="2:20" ht="21" customHeight="1">
      <c r="B7" s="236" t="s">
        <v>169</v>
      </c>
      <c r="C7" s="236"/>
      <c r="D7" s="236"/>
      <c r="E7" s="206"/>
      <c r="F7" s="206"/>
      <c r="G7" s="66"/>
      <c r="H7" s="67"/>
    </row>
    <row r="8" spans="2:20" ht="21" customHeight="1">
      <c r="B8" s="236" t="s">
        <v>64</v>
      </c>
      <c r="C8" s="236"/>
      <c r="D8" s="236"/>
      <c r="E8" s="66"/>
      <c r="F8" s="66"/>
      <c r="G8" s="66"/>
      <c r="H8" s="67"/>
    </row>
    <row r="9" spans="2:20" ht="21" customHeight="1">
      <c r="B9" s="236" t="s">
        <v>65</v>
      </c>
      <c r="C9" s="236"/>
      <c r="D9" s="236"/>
      <c r="E9" s="66"/>
      <c r="F9" s="66"/>
      <c r="G9" s="66"/>
      <c r="H9" s="67"/>
    </row>
    <row r="10" spans="2:20" ht="21" customHeight="1" thickBot="1">
      <c r="B10" s="36"/>
      <c r="C10" s="68"/>
      <c r="D10" s="217"/>
      <c r="E10" s="36"/>
      <c r="F10" s="36"/>
      <c r="G10" s="36"/>
      <c r="H10" s="67"/>
    </row>
    <row r="11" spans="2:20" s="71" customFormat="1" ht="21" customHeight="1" thickBot="1">
      <c r="B11" s="252" t="s">
        <v>153</v>
      </c>
      <c r="C11" s="253"/>
      <c r="D11" s="254"/>
      <c r="E11" s="70"/>
      <c r="F11" s="70"/>
      <c r="G11" s="70"/>
      <c r="J11" s="72"/>
      <c r="M11" s="73"/>
    </row>
    <row r="12" spans="2:20" s="71" customFormat="1" ht="21" customHeight="1">
      <c r="B12" s="231" t="s">
        <v>14</v>
      </c>
      <c r="C12" s="74">
        <v>2023</v>
      </c>
      <c r="D12" s="74">
        <v>2022</v>
      </c>
      <c r="E12" s="75"/>
      <c r="F12" s="76"/>
      <c r="G12" s="76"/>
      <c r="H12" s="77"/>
      <c r="J12" s="72"/>
      <c r="M12" s="73"/>
    </row>
    <row r="13" spans="2:20" s="71" customFormat="1" ht="21" customHeight="1" thickBot="1">
      <c r="B13" s="232"/>
      <c r="C13" s="78" t="s">
        <v>17</v>
      </c>
      <c r="D13" s="78" t="s">
        <v>17</v>
      </c>
      <c r="E13" s="75"/>
      <c r="F13" s="76"/>
      <c r="G13" s="76"/>
      <c r="H13" s="77"/>
      <c r="J13" s="72"/>
      <c r="M13" s="73"/>
    </row>
    <row r="14" spans="2:20" s="71" customFormat="1" ht="21" customHeight="1" thickBot="1">
      <c r="B14" s="79"/>
      <c r="C14" s="80"/>
      <c r="D14" s="80"/>
      <c r="E14" s="75"/>
      <c r="F14" s="81"/>
      <c r="G14" s="81"/>
      <c r="H14" s="73"/>
      <c r="J14" s="72"/>
      <c r="M14" s="73"/>
      <c r="T14" s="82"/>
    </row>
    <row r="15" spans="2:20" s="82" customFormat="1" ht="21" customHeight="1" thickBot="1">
      <c r="B15" s="219" t="s">
        <v>11</v>
      </c>
      <c r="C15" s="220">
        <f>C16</f>
        <v>72384246.430000007</v>
      </c>
      <c r="D15" s="220">
        <f>D16</f>
        <v>71420139.890000001</v>
      </c>
      <c r="E15" s="83"/>
      <c r="F15" s="84"/>
      <c r="G15" s="84"/>
      <c r="H15" s="85"/>
      <c r="I15" s="86"/>
      <c r="J15" s="72"/>
      <c r="M15" s="87"/>
    </row>
    <row r="16" spans="2:20" s="71" customFormat="1" ht="21" customHeight="1">
      <c r="B16" s="88" t="s">
        <v>26</v>
      </c>
      <c r="C16" s="89">
        <v>72384246.430000007</v>
      </c>
      <c r="D16" s="89">
        <v>71420139.890000001</v>
      </c>
      <c r="E16" s="75"/>
      <c r="F16" s="75"/>
      <c r="G16" s="90"/>
      <c r="H16" s="91"/>
      <c r="J16" s="72"/>
      <c r="M16" s="73"/>
    </row>
    <row r="17" spans="2:13" s="71" customFormat="1" ht="21" customHeight="1" thickBot="1">
      <c r="B17" s="92"/>
      <c r="C17" s="89"/>
      <c r="D17" s="89"/>
      <c r="E17" s="75"/>
      <c r="F17" s="75"/>
      <c r="G17" s="90"/>
      <c r="H17" s="91"/>
      <c r="J17" s="72"/>
      <c r="M17" s="73"/>
    </row>
    <row r="18" spans="2:13" s="71" customFormat="1" ht="21" customHeight="1" thickBot="1">
      <c r="B18" s="219" t="s">
        <v>16</v>
      </c>
      <c r="C18" s="221">
        <f>SUM(C19:C20)</f>
        <v>-11417518.609999999</v>
      </c>
      <c r="D18" s="221">
        <f>SUM(D19:D20)</f>
        <v>-10376325.449999999</v>
      </c>
      <c r="E18" s="75"/>
      <c r="F18" s="93"/>
      <c r="G18" s="93"/>
      <c r="H18" s="94"/>
      <c r="J18" s="72"/>
      <c r="M18" s="73"/>
    </row>
    <row r="19" spans="2:13" s="71" customFormat="1" ht="21" customHeight="1">
      <c r="B19" s="88" t="s">
        <v>131</v>
      </c>
      <c r="C19" s="89">
        <f>-1485217.81-6100643.05-75303.17-84576.67</f>
        <v>-7745740.6999999993</v>
      </c>
      <c r="D19" s="89">
        <f>-894096.19-4096774.86-31958.3</f>
        <v>-5022829.3499999996</v>
      </c>
      <c r="E19" s="75"/>
      <c r="F19" s="90"/>
      <c r="G19" s="90"/>
      <c r="H19" s="91"/>
      <c r="J19" s="72"/>
      <c r="M19" s="73"/>
    </row>
    <row r="20" spans="2:13" s="71" customFormat="1" ht="21" customHeight="1">
      <c r="B20" s="88" t="s">
        <v>21</v>
      </c>
      <c r="C20" s="89">
        <v>-3671777.91</v>
      </c>
      <c r="D20" s="89">
        <v>-5353496.0999999996</v>
      </c>
      <c r="E20" s="75"/>
      <c r="F20" s="90"/>
      <c r="G20" s="90"/>
      <c r="H20" s="91"/>
      <c r="J20" s="72"/>
      <c r="M20" s="73"/>
    </row>
    <row r="21" spans="2:13" s="71" customFormat="1" ht="12" customHeight="1" thickBot="1">
      <c r="B21" s="92"/>
      <c r="C21" s="89"/>
      <c r="D21" s="89"/>
      <c r="E21" s="75"/>
      <c r="F21" s="90"/>
      <c r="G21" s="90"/>
      <c r="H21" s="91"/>
      <c r="J21" s="72"/>
      <c r="M21" s="73"/>
    </row>
    <row r="22" spans="2:13" s="71" customFormat="1" ht="21" customHeight="1" thickBot="1">
      <c r="B22" s="219" t="s">
        <v>154</v>
      </c>
      <c r="C22" s="221">
        <f>C15+C18</f>
        <v>60966727.820000008</v>
      </c>
      <c r="D22" s="221">
        <f>D15+D18</f>
        <v>61043814.439999998</v>
      </c>
      <c r="E22" s="95"/>
      <c r="F22" s="93"/>
      <c r="G22" s="93"/>
      <c r="H22" s="94"/>
      <c r="J22" s="72"/>
      <c r="M22" s="73"/>
    </row>
    <row r="23" spans="2:13" s="71" customFormat="1" ht="21" customHeight="1" thickBot="1">
      <c r="B23" s="96"/>
      <c r="C23" s="97"/>
      <c r="D23" s="97"/>
      <c r="E23" s="95"/>
      <c r="F23" s="93"/>
      <c r="G23" s="93"/>
      <c r="H23" s="94"/>
      <c r="J23" s="72"/>
      <c r="M23" s="73"/>
    </row>
    <row r="24" spans="2:13" s="71" customFormat="1" ht="21" customHeight="1" thickBot="1">
      <c r="B24" s="219" t="s">
        <v>117</v>
      </c>
      <c r="C24" s="221">
        <f>SUM(C25:C30)</f>
        <v>-129402740.02</v>
      </c>
      <c r="D24" s="221">
        <f>SUM(D25:D30)</f>
        <v>-94195848.25</v>
      </c>
      <c r="E24" s="95"/>
      <c r="F24" s="93"/>
      <c r="G24" s="93"/>
      <c r="H24" s="94"/>
      <c r="J24" s="72"/>
      <c r="M24" s="73"/>
    </row>
    <row r="25" spans="2:13" s="71" customFormat="1" ht="21" customHeight="1">
      <c r="B25" s="98" t="s">
        <v>163</v>
      </c>
      <c r="C25" s="99">
        <f>-79034190.33-1834668.18</f>
        <v>-80868858.510000005</v>
      </c>
      <c r="D25" s="99">
        <f>-47341667.27-15714812.33-6127741.97-3182352.84-1738706.32</f>
        <v>-74105280.730000004</v>
      </c>
      <c r="E25" s="100"/>
      <c r="F25" s="90"/>
      <c r="G25" s="90"/>
      <c r="H25" s="91"/>
      <c r="I25" s="101"/>
      <c r="J25" s="102"/>
      <c r="M25" s="73"/>
    </row>
    <row r="26" spans="2:13" s="71" customFormat="1" ht="21" customHeight="1">
      <c r="B26" s="98" t="s">
        <v>113</v>
      </c>
      <c r="C26" s="99">
        <f>-110088.21-371624.4</f>
        <v>-481712.61000000004</v>
      </c>
      <c r="D26" s="99">
        <f>-528449.17-57686.28</f>
        <v>-586135.45000000007</v>
      </c>
      <c r="E26" s="75"/>
      <c r="F26" s="90"/>
      <c r="G26" s="90"/>
      <c r="H26" s="91"/>
      <c r="I26" s="101"/>
      <c r="J26" s="102"/>
      <c r="M26" s="73"/>
    </row>
    <row r="27" spans="2:13" s="71" customFormat="1" ht="21" customHeight="1">
      <c r="B27" s="88" t="s">
        <v>114</v>
      </c>
      <c r="C27" s="89">
        <f>-17075471.75-19507288.76-259163.87</f>
        <v>-36841924.380000003</v>
      </c>
      <c r="D27" s="89">
        <f>-2524513.76-14342691.42-7500-10640-37021.18</f>
        <v>-16922366.359999999</v>
      </c>
      <c r="E27" s="75"/>
      <c r="F27" s="90"/>
      <c r="G27" s="90"/>
      <c r="H27" s="91"/>
      <c r="I27" s="101"/>
      <c r="J27" s="102"/>
      <c r="M27" s="73"/>
    </row>
    <row r="28" spans="2:13" s="71" customFormat="1" ht="21" customHeight="1">
      <c r="B28" s="88" t="s">
        <v>115</v>
      </c>
      <c r="C28" s="89">
        <f>-367786.46-46533.4</f>
        <v>-414319.86000000004</v>
      </c>
      <c r="D28" s="89">
        <f>-401126.3</f>
        <v>-401126.3</v>
      </c>
      <c r="E28" s="75"/>
      <c r="F28" s="90"/>
      <c r="G28" s="90"/>
      <c r="H28" s="91"/>
      <c r="I28" s="101"/>
      <c r="J28" s="102"/>
      <c r="M28" s="73"/>
    </row>
    <row r="29" spans="2:13" s="71" customFormat="1" ht="21" customHeight="1">
      <c r="B29" s="88" t="s">
        <v>116</v>
      </c>
      <c r="C29" s="89">
        <f>-1067450.21-2984279.46</f>
        <v>-4051729.67</v>
      </c>
      <c r="D29" s="89">
        <f>-1524797.09-656142.32</f>
        <v>-2180939.41</v>
      </c>
      <c r="E29" s="75"/>
      <c r="F29" s="90"/>
      <c r="G29" s="90"/>
      <c r="H29" s="91"/>
      <c r="I29" s="101"/>
      <c r="J29" s="102"/>
      <c r="M29" s="73"/>
    </row>
    <row r="30" spans="2:13" s="71" customFormat="1" ht="21" customHeight="1">
      <c r="B30" s="88" t="s">
        <v>162</v>
      </c>
      <c r="C30" s="89">
        <f>-1468252.26-117524.3-2856629.68-695271.02-15000-15000-262753.17-1313764.56</f>
        <v>-6744194.9900000002</v>
      </c>
      <c r="D30" s="89">
        <v>0</v>
      </c>
      <c r="E30" s="75"/>
      <c r="F30" s="90"/>
      <c r="G30" s="90"/>
      <c r="H30" s="91"/>
      <c r="I30" s="101"/>
      <c r="J30" s="102"/>
      <c r="M30" s="73"/>
    </row>
    <row r="31" spans="2:13" s="71" customFormat="1" ht="13.5" customHeight="1" thickBot="1">
      <c r="B31" s="92"/>
      <c r="C31" s="89"/>
      <c r="D31" s="89"/>
      <c r="E31" s="75"/>
      <c r="F31" s="90"/>
      <c r="G31" s="90"/>
      <c r="H31" s="103"/>
      <c r="J31" s="72"/>
      <c r="M31" s="73"/>
    </row>
    <row r="32" spans="2:13" s="71" customFormat="1" ht="21" customHeight="1" thickBot="1">
      <c r="B32" s="219" t="s">
        <v>159</v>
      </c>
      <c r="C32" s="221">
        <f>C24+C22</f>
        <v>-68436012.199999988</v>
      </c>
      <c r="D32" s="221">
        <f>D24+D22</f>
        <v>-33152033.810000002</v>
      </c>
      <c r="E32" s="104"/>
      <c r="F32" s="93"/>
      <c r="G32" s="93"/>
      <c r="H32" s="94"/>
      <c r="J32" s="72"/>
      <c r="M32" s="73"/>
    </row>
    <row r="33" spans="2:13" s="71" customFormat="1" ht="11.25" customHeight="1" thickBot="1">
      <c r="B33" s="105" t="s">
        <v>81</v>
      </c>
      <c r="C33" s="97"/>
      <c r="D33" s="97"/>
      <c r="E33" s="104"/>
      <c r="F33" s="93"/>
      <c r="G33" s="93"/>
      <c r="H33" s="94"/>
      <c r="J33" s="72"/>
      <c r="M33" s="73"/>
    </row>
    <row r="34" spans="2:13" s="71" customFormat="1" ht="21" customHeight="1" thickBot="1">
      <c r="B34" s="219" t="s">
        <v>157</v>
      </c>
      <c r="C34" s="221">
        <f>SUM(C35:C40)</f>
        <v>-48082224.899999999</v>
      </c>
      <c r="D34" s="221">
        <f>SUM(D35:D40)</f>
        <v>-49184993.920000002</v>
      </c>
      <c r="E34" s="75"/>
      <c r="F34" s="93"/>
      <c r="G34" s="93"/>
      <c r="H34" s="94"/>
      <c r="J34" s="72"/>
      <c r="M34" s="73"/>
    </row>
    <row r="35" spans="2:13" s="71" customFormat="1" ht="21" customHeight="1">
      <c r="B35" s="98" t="s">
        <v>163</v>
      </c>
      <c r="C35" s="99">
        <f>-34291925.94-2089006.7-39948.88-93539-53306.9</f>
        <v>-36567727.420000002</v>
      </c>
      <c r="D35" s="99">
        <f>-19971590.16-69458.35+18533.3-15293879.85-4195918.98-218286.22-1549925.56+265541.38</f>
        <v>-41014984.440000005</v>
      </c>
      <c r="E35" s="75"/>
      <c r="F35" s="90"/>
      <c r="G35" s="90"/>
      <c r="H35" s="91"/>
      <c r="I35" s="101"/>
      <c r="J35" s="72"/>
      <c r="M35" s="73"/>
    </row>
    <row r="36" spans="2:13" s="71" customFormat="1" ht="21" customHeight="1">
      <c r="B36" s="98" t="s">
        <v>112</v>
      </c>
      <c r="C36" s="99">
        <v>-142934.13</v>
      </c>
      <c r="D36" s="99">
        <v>-133809.79999999999</v>
      </c>
      <c r="E36" s="75"/>
      <c r="F36" s="90"/>
      <c r="G36" s="90"/>
      <c r="H36" s="91"/>
      <c r="I36" s="101"/>
      <c r="J36" s="72"/>
      <c r="M36" s="73"/>
    </row>
    <row r="37" spans="2:13" s="71" customFormat="1" ht="21" customHeight="1">
      <c r="B37" s="98" t="s">
        <v>132</v>
      </c>
      <c r="C37" s="99">
        <v>-1090468.2</v>
      </c>
      <c r="D37" s="99">
        <v>-1216997.5</v>
      </c>
      <c r="E37" s="75"/>
      <c r="F37" s="90"/>
      <c r="G37" s="90"/>
      <c r="H37" s="91"/>
      <c r="J37" s="72"/>
      <c r="M37" s="73"/>
    </row>
    <row r="38" spans="2:13" s="71" customFormat="1" ht="21" customHeight="1">
      <c r="B38" s="88" t="s">
        <v>22</v>
      </c>
      <c r="C38" s="89">
        <v>-86675.41</v>
      </c>
      <c r="D38" s="89">
        <v>-23110.41</v>
      </c>
      <c r="E38" s="75"/>
      <c r="F38" s="90"/>
      <c r="G38" s="90"/>
      <c r="H38" s="91"/>
      <c r="J38" s="72"/>
      <c r="M38" s="73"/>
    </row>
    <row r="39" spans="2:13" s="71" customFormat="1" ht="21" customHeight="1">
      <c r="B39" s="88" t="s">
        <v>23</v>
      </c>
      <c r="C39" s="89">
        <v>-6711745.5499999998</v>
      </c>
      <c r="D39" s="89">
        <v>-3271996.2</v>
      </c>
      <c r="E39" s="75"/>
      <c r="F39" s="90"/>
      <c r="G39" s="90"/>
      <c r="H39" s="91"/>
      <c r="J39" s="72"/>
      <c r="M39" s="73"/>
    </row>
    <row r="40" spans="2:13" s="71" customFormat="1" ht="21" customHeight="1">
      <c r="B40" s="88" t="s">
        <v>158</v>
      </c>
      <c r="C40" s="89">
        <f>-1407482.33-96200-38.8-41833.7-92080.92-69677.16-1099.22-100148.35-7321.25-96877-105132.38-1915-1333152.83-19999.98-52268-399.95-57047.32</f>
        <v>-3482674.19</v>
      </c>
      <c r="D40" s="89">
        <f>-1108283.28-175.1-68945.8-52891.28-90675-122880.02-899.28-89110.4-1276.7-203988.39-19750-3000.67-1168698.51-49078.52-343064.23-33052.83-199.84-7536-4468.23-23491.8-5612.67-1200-2100-15635.02-850-107232</f>
        <v>-3524095.5699999994</v>
      </c>
      <c r="E40" s="75"/>
      <c r="F40" s="90"/>
      <c r="G40" s="90"/>
      <c r="H40" s="91"/>
      <c r="I40" s="101"/>
      <c r="J40" s="72"/>
      <c r="M40" s="73"/>
    </row>
    <row r="41" spans="2:13" s="71" customFormat="1" ht="12" customHeight="1" thickBot="1">
      <c r="B41" s="92"/>
      <c r="C41" s="89">
        <v>0</v>
      </c>
      <c r="D41" s="89"/>
      <c r="E41" s="75"/>
      <c r="F41" s="90"/>
      <c r="G41" s="90"/>
      <c r="H41" s="106"/>
      <c r="J41" s="72"/>
      <c r="M41" s="73"/>
    </row>
    <row r="42" spans="2:13" s="71" customFormat="1" ht="21" customHeight="1" thickBot="1">
      <c r="B42" s="219" t="s">
        <v>155</v>
      </c>
      <c r="C42" s="221">
        <f>SUM(C43:C48)</f>
        <v>115105667.40999998</v>
      </c>
      <c r="D42" s="221">
        <f>SUM(D43:D48)</f>
        <v>75745996.420000002</v>
      </c>
      <c r="E42" s="75"/>
      <c r="F42" s="107"/>
      <c r="G42" s="107"/>
      <c r="H42" s="108"/>
      <c r="J42" s="72"/>
      <c r="M42" s="73"/>
    </row>
    <row r="43" spans="2:13" s="71" customFormat="1" ht="21" customHeight="1">
      <c r="B43" s="88" t="s">
        <v>160</v>
      </c>
      <c r="C43" s="89">
        <v>70023187.409999996</v>
      </c>
      <c r="D43" s="89">
        <v>65329795.159999996</v>
      </c>
      <c r="E43" s="75"/>
      <c r="F43" s="109"/>
      <c r="G43" s="109"/>
      <c r="H43" s="110"/>
      <c r="I43" s="101"/>
      <c r="J43" s="72"/>
      <c r="M43" s="73"/>
    </row>
    <row r="44" spans="2:13" s="71" customFormat="1" ht="21" customHeight="1">
      <c r="B44" s="88" t="s">
        <v>161</v>
      </c>
      <c r="C44" s="89">
        <v>21268844.420000002</v>
      </c>
      <c r="D44" s="89">
        <v>10058080.34</v>
      </c>
      <c r="E44" s="75"/>
      <c r="F44" s="90"/>
      <c r="G44" s="90"/>
      <c r="H44" s="106"/>
      <c r="J44" s="72"/>
      <c r="M44" s="73"/>
    </row>
    <row r="45" spans="2:13" s="71" customFormat="1" ht="21" customHeight="1">
      <c r="B45" s="88" t="s">
        <v>118</v>
      </c>
      <c r="C45" s="89">
        <v>3969037.96</v>
      </c>
      <c r="D45" s="89">
        <v>0</v>
      </c>
      <c r="E45" s="75"/>
      <c r="F45" s="90"/>
      <c r="G45" s="90"/>
      <c r="H45" s="106"/>
      <c r="J45" s="72"/>
      <c r="M45" s="73"/>
    </row>
    <row r="46" spans="2:13" s="71" customFormat="1" ht="21" customHeight="1">
      <c r="B46" s="88" t="s">
        <v>166</v>
      </c>
      <c r="C46" s="89">
        <f>22484779.18+1433.21</f>
        <v>22486212.390000001</v>
      </c>
      <c r="D46" s="89">
        <v>0</v>
      </c>
      <c r="E46" s="75"/>
      <c r="F46" s="90"/>
      <c r="G46" s="90"/>
      <c r="H46" s="106"/>
      <c r="J46" s="72"/>
      <c r="M46" s="73"/>
    </row>
    <row r="47" spans="2:13" s="71" customFormat="1" ht="21" customHeight="1">
      <c r="B47" s="88" t="s">
        <v>25</v>
      </c>
      <c r="C47" s="89">
        <f>7845.12+1589346.98</f>
        <v>1597192.1</v>
      </c>
      <c r="D47" s="89">
        <f>0.01+2591457.94</f>
        <v>2591457.9499999997</v>
      </c>
      <c r="E47" s="75"/>
      <c r="F47" s="90"/>
      <c r="G47" s="90"/>
      <c r="H47" s="91"/>
      <c r="J47" s="72"/>
      <c r="M47" s="73"/>
    </row>
    <row r="48" spans="2:13" s="71" customFormat="1" ht="21" customHeight="1">
      <c r="B48" s="88" t="s">
        <v>24</v>
      </c>
      <c r="C48" s="89">
        <v>-4238806.87</v>
      </c>
      <c r="D48" s="89">
        <v>-2233337.0299999998</v>
      </c>
      <c r="E48" s="75"/>
      <c r="F48" s="90"/>
      <c r="G48" s="90"/>
      <c r="H48" s="91"/>
      <c r="J48" s="72"/>
      <c r="M48" s="73"/>
    </row>
    <row r="49" spans="2:13" s="71" customFormat="1" ht="13.5" customHeight="1" thickBot="1">
      <c r="B49" s="88"/>
      <c r="C49" s="89"/>
      <c r="D49" s="89"/>
      <c r="E49" s="75"/>
      <c r="F49" s="90"/>
      <c r="G49" s="90"/>
      <c r="H49" s="106"/>
      <c r="J49" s="72"/>
      <c r="M49" s="73"/>
    </row>
    <row r="50" spans="2:13" s="71" customFormat="1" ht="24.75" customHeight="1" thickBot="1">
      <c r="B50" s="219" t="s">
        <v>164</v>
      </c>
      <c r="C50" s="221">
        <f>C15+C18+C24+C34+C42</f>
        <v>-1412569.6900000125</v>
      </c>
      <c r="D50" s="221">
        <f>D15+D18+D24+D34+D42</f>
        <v>-6591031.3100000024</v>
      </c>
      <c r="E50" s="95"/>
      <c r="F50" s="107"/>
      <c r="G50" s="107"/>
      <c r="H50" s="108"/>
      <c r="J50" s="72"/>
      <c r="M50" s="73"/>
    </row>
    <row r="51" spans="2:13" s="71" customFormat="1" ht="24.75" customHeight="1" thickBot="1">
      <c r="B51" s="88" t="s">
        <v>167</v>
      </c>
      <c r="C51" s="89">
        <v>23193593.920000002</v>
      </c>
      <c r="D51" s="89">
        <v>0</v>
      </c>
      <c r="E51" s="104"/>
      <c r="F51" s="107"/>
      <c r="G51" s="107"/>
      <c r="H51" s="108"/>
      <c r="J51" s="72"/>
      <c r="M51" s="73"/>
    </row>
    <row r="52" spans="2:13" s="71" customFormat="1" ht="24.75" customHeight="1" thickBot="1">
      <c r="B52" s="219" t="s">
        <v>165</v>
      </c>
      <c r="C52" s="221">
        <f>C15+C18+C24+C34+C42+C51</f>
        <v>21781024.229999989</v>
      </c>
      <c r="D52" s="221">
        <f>D15+D18+D24+D34+D42+D51</f>
        <v>-6591031.3100000024</v>
      </c>
      <c r="E52" s="95"/>
      <c r="F52" s="107"/>
      <c r="G52" s="107"/>
      <c r="H52" s="108"/>
      <c r="J52" s="72"/>
      <c r="M52" s="73"/>
    </row>
    <row r="53" spans="2:13" s="71" customFormat="1" ht="21" customHeight="1">
      <c r="B53" s="88" t="s">
        <v>75</v>
      </c>
      <c r="C53" s="89">
        <v>0</v>
      </c>
      <c r="D53" s="89">
        <v>0</v>
      </c>
      <c r="E53" s="95"/>
      <c r="F53" s="90"/>
      <c r="G53" s="90"/>
      <c r="H53" s="108"/>
      <c r="J53" s="72"/>
      <c r="M53" s="73"/>
    </row>
    <row r="54" spans="2:13" s="71" customFormat="1" ht="21" customHeight="1" thickBot="1">
      <c r="B54" s="111" t="s">
        <v>76</v>
      </c>
      <c r="C54" s="112">
        <v>0</v>
      </c>
      <c r="D54" s="112">
        <v>0</v>
      </c>
      <c r="E54" s="95"/>
      <c r="F54" s="90"/>
      <c r="G54" s="90"/>
      <c r="H54" s="113"/>
      <c r="J54" s="72"/>
      <c r="M54" s="73"/>
    </row>
    <row r="55" spans="2:13" s="82" customFormat="1" ht="21" customHeight="1" thickBot="1">
      <c r="B55" s="222" t="s">
        <v>156</v>
      </c>
      <c r="C55" s="223">
        <f>C52+C54+C53</f>
        <v>21781024.229999989</v>
      </c>
      <c r="D55" s="220">
        <f>D52+D54+D53</f>
        <v>-6591031.3100000024</v>
      </c>
      <c r="E55" s="114"/>
      <c r="F55" s="84"/>
      <c r="G55" s="84"/>
      <c r="H55" s="87"/>
      <c r="J55" s="72"/>
      <c r="M55" s="87"/>
    </row>
    <row r="56" spans="2:13">
      <c r="B56" s="115"/>
      <c r="C56" s="115"/>
      <c r="D56" s="52"/>
      <c r="E56" s="52"/>
    </row>
    <row r="57" spans="2:13">
      <c r="B57" s="115"/>
      <c r="C57" s="115"/>
      <c r="D57" s="116"/>
      <c r="E57" s="116"/>
    </row>
    <row r="58" spans="2:13">
      <c r="B58" s="117"/>
      <c r="C58" s="117"/>
      <c r="D58" s="218"/>
      <c r="E58" s="117"/>
    </row>
    <row r="59" spans="2:13">
      <c r="B59" s="117"/>
      <c r="C59" s="117"/>
      <c r="D59" s="117"/>
      <c r="E59" s="117"/>
    </row>
    <row r="60" spans="2:13">
      <c r="B60" s="117"/>
      <c r="C60" s="117"/>
      <c r="D60" s="117"/>
      <c r="E60" s="117"/>
    </row>
    <row r="61" spans="2:13">
      <c r="B61" s="117"/>
      <c r="C61" s="117"/>
      <c r="D61" s="117"/>
      <c r="E61" s="117"/>
    </row>
    <row r="62" spans="2:13">
      <c r="B62" s="117"/>
      <c r="C62" s="117"/>
      <c r="D62" s="117"/>
      <c r="E62" s="117"/>
    </row>
    <row r="63" spans="2:13">
      <c r="B63" s="117"/>
      <c r="C63" s="117"/>
      <c r="D63" s="209"/>
      <c r="E63" s="117"/>
    </row>
  </sheetData>
  <mergeCells count="6">
    <mergeCell ref="B11:D11"/>
    <mergeCell ref="B12:B13"/>
    <mergeCell ref="B2:D2"/>
    <mergeCell ref="B7:D7"/>
    <mergeCell ref="B8:D8"/>
    <mergeCell ref="B9:D9"/>
  </mergeCells>
  <phoneticPr fontId="0" type="noConversion"/>
  <printOptions horizontalCentered="1" verticalCentered="1"/>
  <pageMargins left="0" right="0" top="0" bottom="0" header="0.51181102362204722" footer="0.51181102362204722"/>
  <pageSetup paperSize="9" scale="5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6"/>
  <sheetViews>
    <sheetView showGridLines="0" tabSelected="1" topLeftCell="A57" zoomScale="70" zoomScaleNormal="70" workbookViewId="0">
      <selection activeCell="F82" sqref="F82"/>
    </sheetView>
  </sheetViews>
  <sheetFormatPr defaultRowHeight="15.75"/>
  <cols>
    <col min="1" max="1" width="9.28515625" style="118" bestFit="1" customWidth="1"/>
    <col min="2" max="2" width="40.7109375" style="118" customWidth="1"/>
    <col min="3" max="3" width="72.7109375" style="118" customWidth="1"/>
    <col min="4" max="4" width="30.7109375" style="118" customWidth="1"/>
    <col min="5" max="7" width="33.140625" style="118" customWidth="1"/>
    <col min="8" max="8" width="3" style="118" bestFit="1" customWidth="1"/>
    <col min="9" max="9" width="38.5703125" style="119" customWidth="1"/>
    <col min="10" max="10" width="21.42578125" style="119" bestFit="1" customWidth="1"/>
    <col min="11" max="11" width="22.140625" style="118" bestFit="1" customWidth="1"/>
    <col min="12" max="12" width="11.28515625" style="118" bestFit="1" customWidth="1"/>
    <col min="13" max="16384" width="9.140625" style="118"/>
  </cols>
  <sheetData>
    <row r="1" spans="2:10" s="148" customFormat="1">
      <c r="I1" s="224"/>
      <c r="J1" s="224"/>
    </row>
    <row r="2" spans="2:10" s="148" customFormat="1" ht="24.95" customHeight="1">
      <c r="B2" s="259"/>
      <c r="C2" s="259"/>
      <c r="D2" s="259"/>
      <c r="E2" s="259"/>
      <c r="F2" s="120"/>
      <c r="G2" s="120"/>
      <c r="I2" s="224"/>
      <c r="J2" s="224"/>
    </row>
    <row r="3" spans="2:10" s="148" customFormat="1" ht="24.95" customHeight="1">
      <c r="B3" s="120"/>
      <c r="C3" s="120"/>
      <c r="D3" s="120"/>
      <c r="E3" s="120"/>
      <c r="F3" s="120"/>
      <c r="G3" s="120"/>
      <c r="I3" s="224"/>
      <c r="J3" s="224"/>
    </row>
    <row r="4" spans="2:10" s="148" customFormat="1" ht="24.95" customHeight="1">
      <c r="B4" s="260"/>
      <c r="C4" s="260"/>
      <c r="D4" s="260"/>
      <c r="E4" s="260"/>
      <c r="F4" s="121"/>
      <c r="G4" s="121"/>
      <c r="I4" s="224"/>
      <c r="J4" s="224"/>
    </row>
    <row r="5" spans="2:10" s="148" customFormat="1" ht="24.95" customHeight="1">
      <c r="B5" s="60"/>
      <c r="C5" s="60"/>
      <c r="D5" s="60"/>
      <c r="E5" s="60"/>
      <c r="F5" s="60"/>
      <c r="G5" s="60"/>
      <c r="I5" s="224"/>
      <c r="J5" s="224"/>
    </row>
    <row r="6" spans="2:10" s="148" customFormat="1" ht="24.95" customHeight="1">
      <c r="B6" s="60"/>
      <c r="C6" s="60"/>
      <c r="D6" s="60"/>
      <c r="E6" s="60"/>
      <c r="F6" s="60"/>
      <c r="G6" s="60"/>
      <c r="I6" s="224"/>
      <c r="J6" s="224"/>
    </row>
    <row r="7" spans="2:10" s="148" customFormat="1" ht="24.95" customHeight="1">
      <c r="B7" s="236" t="s">
        <v>169</v>
      </c>
      <c r="C7" s="236"/>
      <c r="D7" s="236"/>
      <c r="E7" s="236"/>
      <c r="F7" s="60"/>
      <c r="G7" s="60"/>
      <c r="I7" s="224"/>
      <c r="J7" s="224"/>
    </row>
    <row r="8" spans="2:10" s="148" customFormat="1" ht="24.95" customHeight="1">
      <c r="B8" s="261" t="s">
        <v>64</v>
      </c>
      <c r="C8" s="261"/>
      <c r="D8" s="261"/>
      <c r="E8" s="261"/>
      <c r="F8" s="122"/>
      <c r="G8" s="122"/>
      <c r="I8" s="224"/>
      <c r="J8" s="224"/>
    </row>
    <row r="9" spans="2:10" s="148" customFormat="1" ht="24.95" customHeight="1">
      <c r="B9" s="261" t="s">
        <v>65</v>
      </c>
      <c r="C9" s="261"/>
      <c r="D9" s="261"/>
      <c r="E9" s="261"/>
      <c r="F9" s="122"/>
      <c r="G9" s="122"/>
      <c r="I9" s="224"/>
      <c r="J9" s="224"/>
    </row>
    <row r="10" spans="2:10" s="148" customFormat="1" ht="24.95" customHeight="1" thickBot="1">
      <c r="B10" s="121"/>
      <c r="C10" s="121"/>
      <c r="D10" s="121"/>
      <c r="E10" s="121"/>
      <c r="F10" s="121"/>
      <c r="G10" s="121"/>
      <c r="I10" s="224"/>
      <c r="J10" s="224"/>
    </row>
    <row r="11" spans="2:10" s="123" customFormat="1" ht="24.95" customHeight="1">
      <c r="B11" s="262" t="s">
        <v>168</v>
      </c>
      <c r="C11" s="263"/>
      <c r="D11" s="263"/>
      <c r="E11" s="264"/>
      <c r="F11" s="124"/>
      <c r="G11" s="124"/>
    </row>
    <row r="12" spans="2:10" s="123" customFormat="1" ht="24.95" customHeight="1" thickBot="1">
      <c r="B12" s="265" t="s">
        <v>111</v>
      </c>
      <c r="C12" s="266"/>
      <c r="D12" s="266"/>
      <c r="E12" s="267"/>
      <c r="F12" s="124"/>
      <c r="G12" s="124"/>
    </row>
    <row r="13" spans="2:10" s="123" customFormat="1" ht="24.95" customHeight="1">
      <c r="B13" s="255"/>
      <c r="C13" s="256"/>
      <c r="D13" s="125">
        <v>2023</v>
      </c>
      <c r="E13" s="125">
        <v>2022</v>
      </c>
      <c r="F13" s="126"/>
      <c r="G13" s="126"/>
    </row>
    <row r="14" spans="2:10" s="123" customFormat="1" ht="24.95" customHeight="1" thickBot="1">
      <c r="B14" s="257"/>
      <c r="C14" s="258"/>
      <c r="D14" s="45" t="s">
        <v>17</v>
      </c>
      <c r="E14" s="45" t="s">
        <v>17</v>
      </c>
      <c r="G14" s="127"/>
    </row>
    <row r="15" spans="2:10" s="123" customFormat="1" ht="39.950000000000003" customHeight="1" thickBot="1">
      <c r="B15" s="270" t="s">
        <v>54</v>
      </c>
      <c r="C15" s="271"/>
      <c r="D15" s="230"/>
      <c r="E15" s="230"/>
      <c r="G15" s="127"/>
    </row>
    <row r="16" spans="2:10" s="123" customFormat="1" ht="24" customHeight="1">
      <c r="B16" s="255" t="s">
        <v>20</v>
      </c>
      <c r="C16" s="256"/>
      <c r="D16" s="128">
        <f>'DRE 2023-2022'!C55</f>
        <v>21781024.229999989</v>
      </c>
      <c r="E16" s="128">
        <f>'DRE 2023-2022'!D55</f>
        <v>-6591031.3100000024</v>
      </c>
      <c r="G16" s="129"/>
    </row>
    <row r="17" spans="2:11" s="123" customFormat="1" ht="24" customHeight="1">
      <c r="B17" s="272" t="s">
        <v>137</v>
      </c>
      <c r="C17" s="273"/>
      <c r="D17" s="130">
        <v>9863247.6600000001</v>
      </c>
      <c r="E17" s="130">
        <v>5388089.8600000003</v>
      </c>
      <c r="F17" s="131"/>
      <c r="G17" s="132"/>
    </row>
    <row r="18" spans="2:11" s="123" customFormat="1" ht="24" customHeight="1">
      <c r="B18" s="274" t="s">
        <v>55</v>
      </c>
      <c r="C18" s="275"/>
      <c r="D18" s="130">
        <v>0</v>
      </c>
      <c r="E18" s="130"/>
      <c r="F18" s="131"/>
      <c r="G18" s="132"/>
    </row>
    <row r="19" spans="2:11" s="123" customFormat="1" ht="24" customHeight="1">
      <c r="B19" s="268" t="s">
        <v>108</v>
      </c>
      <c r="C19" s="269"/>
      <c r="D19" s="130">
        <v>6711745.5499999998</v>
      </c>
      <c r="E19" s="130">
        <f>-'[1]DRE 2021-2022'!$C$46</f>
        <v>3271996.2</v>
      </c>
      <c r="F19" s="131"/>
      <c r="G19" s="132"/>
      <c r="J19" s="133"/>
      <c r="K19" s="133"/>
    </row>
    <row r="20" spans="2:11" s="123" customFormat="1" ht="24" customHeight="1">
      <c r="B20" s="268" t="s">
        <v>110</v>
      </c>
      <c r="C20" s="269"/>
      <c r="D20" s="130">
        <v>-384880.59</v>
      </c>
      <c r="E20" s="130">
        <f>-162833.6</f>
        <v>-162833.60000000001</v>
      </c>
      <c r="F20" s="131"/>
      <c r="G20" s="132"/>
    </row>
    <row r="21" spans="2:11" s="123" customFormat="1" ht="24" customHeight="1">
      <c r="B21" s="134" t="s">
        <v>121</v>
      </c>
      <c r="C21" s="135"/>
      <c r="D21" s="130">
        <v>0</v>
      </c>
      <c r="E21" s="130">
        <v>0</v>
      </c>
      <c r="F21" s="131"/>
      <c r="G21" s="132"/>
    </row>
    <row r="22" spans="2:11" s="123" customFormat="1" ht="24" customHeight="1">
      <c r="B22" s="276" t="s">
        <v>56</v>
      </c>
      <c r="C22" s="277"/>
      <c r="D22" s="136">
        <f>+D20+D19+D17+D16+D21</f>
        <v>37971136.849999994</v>
      </c>
      <c r="E22" s="136">
        <f>+E20+E19+E17+E16+E21</f>
        <v>1906221.1499999985</v>
      </c>
      <c r="F22" s="131"/>
      <c r="G22" s="129"/>
    </row>
    <row r="23" spans="2:11" s="123" customFormat="1" ht="24" customHeight="1">
      <c r="B23" s="276" t="s">
        <v>122</v>
      </c>
      <c r="C23" s="277"/>
      <c r="D23" s="130"/>
      <c r="E23" s="130"/>
      <c r="F23" s="131"/>
      <c r="G23" s="132"/>
    </row>
    <row r="24" spans="2:11" s="123" customFormat="1" ht="24" customHeight="1">
      <c r="B24" s="268" t="s">
        <v>57</v>
      </c>
      <c r="C24" s="269"/>
      <c r="D24" s="130">
        <v>556145.31000000006</v>
      </c>
      <c r="E24" s="130">
        <v>15329628.220000001</v>
      </c>
      <c r="G24" s="132"/>
    </row>
    <row r="25" spans="2:11" s="123" customFormat="1" ht="24" customHeight="1">
      <c r="B25" s="268" t="s">
        <v>58</v>
      </c>
      <c r="C25" s="269"/>
      <c r="D25" s="130">
        <v>0</v>
      </c>
      <c r="E25" s="130">
        <v>0</v>
      </c>
      <c r="G25" s="132"/>
    </row>
    <row r="26" spans="2:11" s="123" customFormat="1" ht="24" customHeight="1">
      <c r="B26" s="268" t="s">
        <v>71</v>
      </c>
      <c r="C26" s="269"/>
      <c r="D26" s="130">
        <v>-5659737.9800000004</v>
      </c>
      <c r="E26" s="130">
        <v>-477417.28</v>
      </c>
      <c r="G26" s="132"/>
    </row>
    <row r="27" spans="2:11" s="123" customFormat="1" ht="24" customHeight="1">
      <c r="B27" s="134" t="s">
        <v>107</v>
      </c>
      <c r="C27" s="135"/>
      <c r="D27" s="130">
        <v>0</v>
      </c>
      <c r="E27" s="130">
        <v>0</v>
      </c>
      <c r="G27" s="132"/>
    </row>
    <row r="28" spans="2:11" s="123" customFormat="1" ht="24" customHeight="1">
      <c r="B28" s="272" t="s">
        <v>78</v>
      </c>
      <c r="C28" s="273"/>
      <c r="D28" s="130">
        <v>-31008.880000000001</v>
      </c>
      <c r="E28" s="130">
        <v>516.09</v>
      </c>
      <c r="G28" s="132"/>
    </row>
    <row r="29" spans="2:11" s="123" customFormat="1" ht="24" customHeight="1">
      <c r="B29" s="268" t="s">
        <v>72</v>
      </c>
      <c r="C29" s="269"/>
      <c r="D29" s="130">
        <v>0</v>
      </c>
      <c r="E29" s="130">
        <v>0</v>
      </c>
      <c r="G29" s="132"/>
    </row>
    <row r="30" spans="2:11" s="123" customFormat="1" ht="24" customHeight="1">
      <c r="B30" s="268" t="s">
        <v>73</v>
      </c>
      <c r="C30" s="269"/>
      <c r="D30" s="130">
        <v>-708902.62</v>
      </c>
      <c r="E30" s="130">
        <v>-466339.67</v>
      </c>
      <c r="G30" s="132"/>
    </row>
    <row r="31" spans="2:11" s="123" customFormat="1" ht="24" customHeight="1">
      <c r="B31" s="268" t="s">
        <v>135</v>
      </c>
      <c r="C31" s="269"/>
      <c r="D31" s="130">
        <v>-2446073.67</v>
      </c>
      <c r="E31" s="130">
        <v>2449594.84</v>
      </c>
      <c r="G31" s="132"/>
    </row>
    <row r="32" spans="2:11" s="123" customFormat="1" ht="24" customHeight="1">
      <c r="B32" s="268" t="s">
        <v>43</v>
      </c>
      <c r="C32" s="269"/>
      <c r="D32" s="130">
        <v>-20945.54</v>
      </c>
      <c r="E32" s="130">
        <v>-5218.5600000000004</v>
      </c>
      <c r="G32" s="132"/>
    </row>
    <row r="33" spans="2:10" s="123" customFormat="1" ht="24" customHeight="1">
      <c r="B33" s="268" t="s">
        <v>105</v>
      </c>
      <c r="C33" s="269"/>
      <c r="D33" s="130">
        <v>0</v>
      </c>
      <c r="E33" s="130">
        <v>0</v>
      </c>
      <c r="G33" s="132"/>
    </row>
    <row r="34" spans="2:10" s="123" customFormat="1" ht="24" customHeight="1">
      <c r="B34" s="276" t="s">
        <v>56</v>
      </c>
      <c r="C34" s="277"/>
      <c r="D34" s="136">
        <f>SUM(D24:D33)</f>
        <v>-8310523.3799999999</v>
      </c>
      <c r="E34" s="136">
        <f>SUM(E24:E33)</f>
        <v>16830763.640000004</v>
      </c>
      <c r="G34" s="129"/>
    </row>
    <row r="35" spans="2:10" s="123" customFormat="1" ht="24" customHeight="1">
      <c r="B35" s="276" t="s">
        <v>123</v>
      </c>
      <c r="C35" s="277"/>
      <c r="D35" s="130"/>
      <c r="E35" s="130"/>
      <c r="G35" s="132"/>
    </row>
    <row r="36" spans="2:10" s="123" customFormat="1" ht="24" customHeight="1">
      <c r="B36" s="268" t="s">
        <v>3</v>
      </c>
      <c r="C36" s="269"/>
      <c r="D36" s="130">
        <v>563292.43999999994</v>
      </c>
      <c r="E36" s="130">
        <v>-861649.92000000004</v>
      </c>
      <c r="G36" s="132"/>
    </row>
    <row r="37" spans="2:10" s="123" customFormat="1" ht="24" customHeight="1">
      <c r="B37" s="268" t="s">
        <v>48</v>
      </c>
      <c r="C37" s="269"/>
      <c r="D37" s="130">
        <v>-6090.84</v>
      </c>
      <c r="E37" s="130">
        <v>373305.23</v>
      </c>
      <c r="G37" s="132"/>
    </row>
    <row r="38" spans="2:10" s="123" customFormat="1" ht="24" customHeight="1">
      <c r="B38" s="268" t="s">
        <v>136</v>
      </c>
      <c r="C38" s="269"/>
      <c r="D38" s="130">
        <v>45614525.469999999</v>
      </c>
      <c r="E38" s="130">
        <v>-16947769.16</v>
      </c>
      <c r="G38" s="132"/>
    </row>
    <row r="39" spans="2:10" s="123" customFormat="1" ht="24" customHeight="1">
      <c r="B39" s="268" t="s">
        <v>19</v>
      </c>
      <c r="C39" s="269"/>
      <c r="D39" s="130">
        <v>-3466.34</v>
      </c>
      <c r="E39" s="130">
        <v>130498.06</v>
      </c>
      <c r="G39" s="132"/>
    </row>
    <row r="40" spans="2:10" s="123" customFormat="1" ht="24" customHeight="1">
      <c r="B40" s="268" t="s">
        <v>133</v>
      </c>
      <c r="C40" s="269"/>
      <c r="D40" s="130">
        <v>3498118.77</v>
      </c>
      <c r="E40" s="130">
        <f>-292471.16</f>
        <v>-292471.15999999997</v>
      </c>
      <c r="G40" s="132"/>
    </row>
    <row r="41" spans="2:10" s="123" customFormat="1" ht="24" customHeight="1">
      <c r="B41" s="268" t="s">
        <v>36</v>
      </c>
      <c r="C41" s="269"/>
      <c r="D41" s="130">
        <v>-335269.53999999998</v>
      </c>
      <c r="E41" s="130">
        <v>-2542.79</v>
      </c>
      <c r="G41" s="132"/>
    </row>
    <row r="42" spans="2:10" s="123" customFormat="1" ht="24" customHeight="1">
      <c r="B42" s="268" t="s">
        <v>59</v>
      </c>
      <c r="C42" s="269"/>
      <c r="D42" s="130">
        <v>6412294.3300000001</v>
      </c>
      <c r="E42" s="130">
        <v>-2773508.44</v>
      </c>
      <c r="G42" s="132"/>
    </row>
    <row r="43" spans="2:10" s="123" customFormat="1" ht="24" customHeight="1">
      <c r="B43" s="278" t="s">
        <v>126</v>
      </c>
      <c r="C43" s="279"/>
      <c r="D43" s="130">
        <v>2704917.6</v>
      </c>
      <c r="E43" s="130">
        <v>5244180.88</v>
      </c>
      <c r="G43" s="132"/>
      <c r="J43" s="137"/>
    </row>
    <row r="44" spans="2:10" s="123" customFormat="1" ht="24" customHeight="1">
      <c r="B44" s="276" t="s">
        <v>56</v>
      </c>
      <c r="C44" s="277"/>
      <c r="D44" s="136">
        <f>SUM(D36:D43)</f>
        <v>58448321.890000001</v>
      </c>
      <c r="E44" s="136">
        <f>SUM(E36:E43)</f>
        <v>-15129957.300000004</v>
      </c>
      <c r="G44" s="129"/>
      <c r="H44" s="138"/>
      <c r="I44" s="139"/>
      <c r="J44" s="133"/>
    </row>
    <row r="45" spans="2:10" s="123" customFormat="1" ht="24" customHeight="1" thickBot="1">
      <c r="B45" s="280" t="s">
        <v>60</v>
      </c>
      <c r="C45" s="281"/>
      <c r="D45" s="140">
        <f>D34+D22-D44</f>
        <v>-28787708.420000006</v>
      </c>
      <c r="E45" s="140">
        <f>E34+E22-E44</f>
        <v>33866942.090000004</v>
      </c>
      <c r="G45" s="129"/>
      <c r="H45" s="129"/>
      <c r="I45" s="139"/>
    </row>
    <row r="46" spans="2:10" s="123" customFormat="1" ht="39.950000000000003" customHeight="1" thickBot="1">
      <c r="B46" s="270" t="s">
        <v>61</v>
      </c>
      <c r="C46" s="271"/>
      <c r="D46" s="228"/>
      <c r="E46" s="228"/>
      <c r="G46" s="129"/>
      <c r="H46" s="139"/>
      <c r="I46" s="141"/>
      <c r="J46" s="137"/>
    </row>
    <row r="47" spans="2:10" s="123" customFormat="1" ht="24" customHeight="1">
      <c r="B47" s="282" t="s">
        <v>79</v>
      </c>
      <c r="C47" s="283"/>
      <c r="D47" s="142">
        <f>-9029232.69-7307273.72+127365.08</f>
        <v>-16209141.33</v>
      </c>
      <c r="E47" s="142">
        <f>-3049025.18-8781624.02+17677729.13-595774.91-74169.17+4297.55+2016057.14</f>
        <v>7197490.5399999991</v>
      </c>
      <c r="G47" s="132"/>
    </row>
    <row r="48" spans="2:10" s="123" customFormat="1" ht="24" customHeight="1">
      <c r="B48" s="268" t="s">
        <v>77</v>
      </c>
      <c r="C48" s="269"/>
      <c r="D48" s="130">
        <v>384880.59</v>
      </c>
      <c r="E48" s="130">
        <v>-162833.60000000001</v>
      </c>
      <c r="G48" s="132"/>
    </row>
    <row r="49" spans="2:12" s="123" customFormat="1" ht="24" customHeight="1">
      <c r="B49" s="268" t="s">
        <v>124</v>
      </c>
      <c r="C49" s="269"/>
      <c r="D49" s="143">
        <v>3838320.82</v>
      </c>
      <c r="E49" s="143">
        <v>1735602.37</v>
      </c>
      <c r="G49" s="144"/>
      <c r="J49" s="133"/>
    </row>
    <row r="50" spans="2:12" s="123" customFormat="1" ht="24" customHeight="1">
      <c r="B50" s="134" t="s">
        <v>125</v>
      </c>
      <c r="C50" s="135"/>
      <c r="D50" s="143">
        <v>4000000</v>
      </c>
      <c r="E50" s="143">
        <v>30719710.300000001</v>
      </c>
      <c r="G50" s="144"/>
      <c r="J50" s="133"/>
    </row>
    <row r="51" spans="2:12" s="123" customFormat="1" ht="24" customHeight="1" thickBot="1">
      <c r="B51" s="280" t="s">
        <v>62</v>
      </c>
      <c r="C51" s="281"/>
      <c r="D51" s="145">
        <f>SUM(D47:D50)</f>
        <v>-7985939.9199999999</v>
      </c>
      <c r="E51" s="145">
        <f>SUM(E47:E50)</f>
        <v>39489969.609999999</v>
      </c>
      <c r="G51" s="146"/>
    </row>
    <row r="52" spans="2:12" s="123" customFormat="1" ht="39.950000000000003" customHeight="1" thickBot="1">
      <c r="B52" s="270" t="s">
        <v>63</v>
      </c>
      <c r="C52" s="271"/>
      <c r="D52" s="228">
        <f>D51+D45</f>
        <v>-36773648.340000004</v>
      </c>
      <c r="E52" s="228">
        <f>E51+E45</f>
        <v>73356911.700000003</v>
      </c>
      <c r="G52" s="129"/>
      <c r="J52" s="133"/>
      <c r="L52" s="133"/>
    </row>
    <row r="53" spans="2:12" s="123" customFormat="1" ht="24" customHeight="1" thickBot="1">
      <c r="B53" s="284" t="s">
        <v>106</v>
      </c>
      <c r="C53" s="285"/>
      <c r="D53" s="147">
        <v>98103656.409999996</v>
      </c>
      <c r="E53" s="147">
        <v>24746744.710000001</v>
      </c>
      <c r="G53" s="132"/>
      <c r="J53" s="137"/>
    </row>
    <row r="54" spans="2:12" s="123" customFormat="1" ht="24" customHeight="1" thickBot="1">
      <c r="B54" s="284" t="s">
        <v>52</v>
      </c>
      <c r="C54" s="285"/>
      <c r="D54" s="147">
        <v>61330008.07</v>
      </c>
      <c r="E54" s="147">
        <v>98103656.409999996</v>
      </c>
      <c r="G54" s="132"/>
      <c r="J54" s="133"/>
      <c r="K54" s="137"/>
    </row>
    <row r="55" spans="2:12" s="123" customFormat="1" ht="42" customHeight="1" thickBot="1">
      <c r="B55" s="286" t="s">
        <v>53</v>
      </c>
      <c r="C55" s="287"/>
      <c r="D55" s="229">
        <f>D53-D54</f>
        <v>36773648.339999996</v>
      </c>
      <c r="E55" s="229">
        <f>E53-E54</f>
        <v>-73356911.699999988</v>
      </c>
      <c r="F55" s="116"/>
      <c r="G55" s="116"/>
      <c r="K55" s="133"/>
    </row>
    <row r="56" spans="2:12" s="148" customFormat="1" ht="39.950000000000003" customHeight="1">
      <c r="B56" s="115"/>
      <c r="C56" s="115"/>
      <c r="I56" s="224"/>
      <c r="J56" s="149"/>
      <c r="K56" s="116"/>
    </row>
    <row r="57" spans="2:12" s="148" customFormat="1" ht="39.950000000000003" customHeight="1">
      <c r="B57" s="115"/>
      <c r="C57" s="115"/>
      <c r="D57" s="116"/>
      <c r="E57" s="116"/>
      <c r="G57" s="116"/>
      <c r="I57" s="224"/>
      <c r="J57" s="225"/>
      <c r="K57" s="226"/>
    </row>
    <row r="58" spans="2:12" s="148" customFormat="1" ht="24" customHeight="1">
      <c r="B58" s="150"/>
      <c r="C58" s="150"/>
      <c r="D58" s="151"/>
      <c r="E58" s="150"/>
      <c r="F58" s="151"/>
      <c r="G58" s="150"/>
      <c r="I58" s="224"/>
      <c r="J58" s="225"/>
    </row>
    <row r="59" spans="2:12" s="148" customFormat="1" ht="24" customHeight="1">
      <c r="B59" s="150"/>
      <c r="C59" s="150"/>
      <c r="D59" s="150"/>
      <c r="E59" s="150"/>
      <c r="F59" s="150"/>
      <c r="G59" s="150"/>
      <c r="I59" s="225"/>
      <c r="J59" s="224"/>
    </row>
    <row r="60" spans="2:12" s="148" customFormat="1" ht="24" customHeight="1">
      <c r="B60" s="150"/>
      <c r="C60" s="150"/>
      <c r="D60" s="150"/>
      <c r="E60" s="150"/>
      <c r="F60" s="150"/>
      <c r="G60" s="150"/>
      <c r="I60" s="224"/>
      <c r="J60" s="224"/>
    </row>
    <row r="61" spans="2:12" s="148" customFormat="1" ht="24" customHeight="1">
      <c r="B61" s="150"/>
      <c r="C61" s="150"/>
      <c r="D61" s="150"/>
      <c r="E61" s="150"/>
      <c r="F61" s="150"/>
      <c r="G61" s="150"/>
      <c r="I61" s="224"/>
      <c r="J61" s="224"/>
    </row>
    <row r="62" spans="2:12" s="148" customFormat="1" ht="24" customHeight="1">
      <c r="B62" s="150"/>
      <c r="C62" s="150"/>
      <c r="D62" s="150"/>
      <c r="E62" s="150"/>
      <c r="F62" s="150"/>
      <c r="G62" s="150"/>
      <c r="I62" s="224"/>
      <c r="J62" s="224"/>
    </row>
    <row r="63" spans="2:12" s="148" customFormat="1" ht="24" customHeight="1">
      <c r="B63" s="150"/>
      <c r="C63" s="150"/>
      <c r="D63" s="227"/>
      <c r="E63" s="150"/>
      <c r="F63" s="150"/>
      <c r="G63" s="150"/>
      <c r="I63" s="224"/>
      <c r="J63" s="224"/>
    </row>
    <row r="64" spans="2:12" s="148" customFormat="1">
      <c r="I64" s="224"/>
      <c r="J64" s="224"/>
    </row>
    <row r="65" spans="9:10" s="148" customFormat="1">
      <c r="I65" s="224"/>
      <c r="J65" s="224"/>
    </row>
    <row r="66" spans="9:10" s="148" customFormat="1">
      <c r="I66" s="224"/>
      <c r="J66" s="224"/>
    </row>
  </sheetData>
  <mergeCells count="46">
    <mergeCell ref="B51:C51"/>
    <mergeCell ref="B52:C52"/>
    <mergeCell ref="B53:C53"/>
    <mergeCell ref="B54:C54"/>
    <mergeCell ref="B55:C55"/>
    <mergeCell ref="B48:C48"/>
    <mergeCell ref="B49:C49"/>
    <mergeCell ref="B34:C34"/>
    <mergeCell ref="B35:C35"/>
    <mergeCell ref="B36:C36"/>
    <mergeCell ref="B37:C37"/>
    <mergeCell ref="B43:C43"/>
    <mergeCell ref="B44:C44"/>
    <mergeCell ref="B45:C45"/>
    <mergeCell ref="B46:C46"/>
    <mergeCell ref="B47:C47"/>
    <mergeCell ref="B38:C38"/>
    <mergeCell ref="B39:C39"/>
    <mergeCell ref="B40:C40"/>
    <mergeCell ref="B41:C41"/>
    <mergeCell ref="B42:C42"/>
    <mergeCell ref="B33:C33"/>
    <mergeCell ref="B28:C28"/>
    <mergeCell ref="B29:C29"/>
    <mergeCell ref="B30:C30"/>
    <mergeCell ref="B31:C31"/>
    <mergeCell ref="B32:C32"/>
    <mergeCell ref="B26:C26"/>
    <mergeCell ref="B15:C15"/>
    <mergeCell ref="B16:C16"/>
    <mergeCell ref="B17:C17"/>
    <mergeCell ref="B18:C18"/>
    <mergeCell ref="B19:C19"/>
    <mergeCell ref="B20:C20"/>
    <mergeCell ref="B22:C22"/>
    <mergeCell ref="B23:C23"/>
    <mergeCell ref="B24:C24"/>
    <mergeCell ref="B25:C25"/>
    <mergeCell ref="B13:C14"/>
    <mergeCell ref="B2:E2"/>
    <mergeCell ref="B4:E4"/>
    <mergeCell ref="B8:E8"/>
    <mergeCell ref="B9:E9"/>
    <mergeCell ref="B11:E11"/>
    <mergeCell ref="B12:E12"/>
    <mergeCell ref="B7:E7"/>
  </mergeCells>
  <pageMargins left="0.98425196850393704" right="0.19685039370078741" top="0.39370078740157483" bottom="0.39370078740157483" header="0.51181102362204722" footer="0.51181102362204722"/>
  <pageSetup paperSize="9" scale="4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</sheetPr>
  <dimension ref="A5:J21"/>
  <sheetViews>
    <sheetView showGridLines="0" topLeftCell="A4" workbookViewId="0">
      <selection activeCell="C28" sqref="C28"/>
    </sheetView>
  </sheetViews>
  <sheetFormatPr defaultColWidth="9.140625" defaultRowHeight="15"/>
  <cols>
    <col min="1" max="1" width="56.5703125" style="1" customWidth="1"/>
    <col min="2" max="3" width="19.140625" style="1" bestFit="1" customWidth="1"/>
    <col min="4" max="4" width="16.85546875" style="1" bestFit="1" customWidth="1"/>
    <col min="5" max="5" width="9.140625" style="1"/>
    <col min="6" max="6" width="19.5703125" style="1" customWidth="1"/>
    <col min="7" max="7" width="17.85546875" style="1" customWidth="1"/>
    <col min="8" max="16384" width="9.140625" style="1"/>
  </cols>
  <sheetData>
    <row r="5" spans="1:10" ht="15.75">
      <c r="A5" s="2" t="s">
        <v>82</v>
      </c>
      <c r="B5" s="2" t="s">
        <v>89</v>
      </c>
      <c r="C5" s="2" t="s">
        <v>90</v>
      </c>
    </row>
    <row r="6" spans="1:10" ht="15.75">
      <c r="A6" s="23"/>
      <c r="B6" s="3"/>
      <c r="C6" s="3"/>
    </row>
    <row r="7" spans="1:10" ht="15.75">
      <c r="A7" s="24" t="s">
        <v>92</v>
      </c>
      <c r="B7" s="4">
        <v>-366121.47</v>
      </c>
      <c r="C7" s="4">
        <v>-366121.47</v>
      </c>
    </row>
    <row r="8" spans="1:10">
      <c r="A8" s="25" t="s">
        <v>83</v>
      </c>
      <c r="B8" s="5">
        <v>0</v>
      </c>
      <c r="C8" s="5">
        <v>0</v>
      </c>
      <c r="D8" s="1" t="s">
        <v>81</v>
      </c>
    </row>
    <row r="9" spans="1:10" ht="15.75">
      <c r="A9" s="24" t="s">
        <v>93</v>
      </c>
      <c r="B9" s="7">
        <f>B7+B8</f>
        <v>-366121.47</v>
      </c>
      <c r="C9" s="7">
        <f>C7+C8</f>
        <v>-366121.47</v>
      </c>
    </row>
    <row r="10" spans="1:10" ht="21.75" customHeight="1">
      <c r="A10" s="25" t="s">
        <v>84</v>
      </c>
      <c r="B10" s="5">
        <f>-B9*30%</f>
        <v>109836.44099999999</v>
      </c>
      <c r="C10" s="5">
        <f>-C9*30%</f>
        <v>109836.44099999999</v>
      </c>
      <c r="D10" s="6" t="s">
        <v>81</v>
      </c>
    </row>
    <row r="11" spans="1:10" ht="15.75">
      <c r="A11" s="24" t="s">
        <v>85</v>
      </c>
      <c r="B11" s="7">
        <f>B9+B10</f>
        <v>-256285.02899999998</v>
      </c>
      <c r="C11" s="7">
        <f>C9+C10</f>
        <v>-256285.02899999998</v>
      </c>
      <c r="D11" s="6"/>
    </row>
    <row r="12" spans="1:10" ht="15.75">
      <c r="A12" s="24" t="s">
        <v>91</v>
      </c>
      <c r="B12" s="5">
        <f>B11*9%</f>
        <v>-23065.652609999997</v>
      </c>
      <c r="C12" s="5">
        <v>0</v>
      </c>
      <c r="D12" s="6"/>
    </row>
    <row r="13" spans="1:10">
      <c r="A13" s="25" t="s">
        <v>86</v>
      </c>
      <c r="B13" s="5">
        <v>0</v>
      </c>
      <c r="C13" s="5">
        <f>C11*15%</f>
        <v>-38442.754349999996</v>
      </c>
      <c r="D13" s="6"/>
    </row>
    <row r="14" spans="1:10" ht="30">
      <c r="A14" s="26" t="s">
        <v>94</v>
      </c>
      <c r="B14" s="8">
        <v>0</v>
      </c>
      <c r="C14" s="8">
        <f>(C11-240000)*10%</f>
        <v>-49628.502899999999</v>
      </c>
      <c r="D14" s="6"/>
    </row>
    <row r="15" spans="1:10" ht="15.75">
      <c r="A15" s="24" t="s">
        <v>95</v>
      </c>
      <c r="B15" s="7">
        <f>B13+B14+B12</f>
        <v>-23065.652609999997</v>
      </c>
      <c r="C15" s="7">
        <f>C13+C14</f>
        <v>-88071.257249999995</v>
      </c>
      <c r="D15" s="6"/>
    </row>
    <row r="16" spans="1:10">
      <c r="A16" s="25" t="s">
        <v>87</v>
      </c>
      <c r="B16" s="5">
        <v>0</v>
      </c>
      <c r="C16" s="5">
        <f>G21</f>
        <v>-3522.8502899999999</v>
      </c>
      <c r="D16" s="6" t="s">
        <v>81</v>
      </c>
      <c r="E16" s="17" t="s">
        <v>99</v>
      </c>
      <c r="F16" s="18"/>
      <c r="G16" s="18"/>
      <c r="H16" s="18"/>
      <c r="I16" s="18"/>
      <c r="J16" s="19"/>
    </row>
    <row r="17" spans="1:10" ht="15.75">
      <c r="A17" s="24" t="s">
        <v>103</v>
      </c>
      <c r="B17" s="7">
        <f>B15</f>
        <v>-23065.652609999997</v>
      </c>
      <c r="C17" s="7">
        <f>C15-C16</f>
        <v>-84548.406959999993</v>
      </c>
      <c r="D17" s="6"/>
      <c r="E17" s="20" t="s">
        <v>96</v>
      </c>
      <c r="F17" s="21"/>
      <c r="G17" s="21"/>
      <c r="H17" s="21"/>
      <c r="I17" s="21"/>
      <c r="J17" s="22"/>
    </row>
    <row r="18" spans="1:10">
      <c r="A18" s="25" t="s">
        <v>88</v>
      </c>
      <c r="B18" s="5">
        <v>0</v>
      </c>
      <c r="C18" s="5">
        <v>460298.27</v>
      </c>
      <c r="E18" s="14" t="s">
        <v>97</v>
      </c>
      <c r="F18" s="11"/>
      <c r="G18" s="9">
        <v>2944447.97</v>
      </c>
      <c r="H18" s="11"/>
      <c r="I18" s="10" t="s">
        <v>100</v>
      </c>
      <c r="J18" s="10"/>
    </row>
    <row r="19" spans="1:10" ht="15.75">
      <c r="A19" s="27" t="s">
        <v>104</v>
      </c>
      <c r="B19" s="7">
        <f>B17</f>
        <v>-23065.652609999997</v>
      </c>
      <c r="C19" s="7">
        <v>0</v>
      </c>
      <c r="E19" s="14" t="s">
        <v>98</v>
      </c>
      <c r="F19" s="11"/>
      <c r="G19" s="12">
        <f>G18*15%</f>
        <v>441667.19550000003</v>
      </c>
    </row>
    <row r="20" spans="1:10" ht="15.75">
      <c r="B20" s="6"/>
      <c r="C20" s="6"/>
      <c r="E20" s="15" t="s">
        <v>101</v>
      </c>
      <c r="F20" s="16"/>
      <c r="G20" s="13">
        <f>C15</f>
        <v>-88071.257249999995</v>
      </c>
    </row>
    <row r="21" spans="1:10">
      <c r="E21" s="14" t="s">
        <v>102</v>
      </c>
      <c r="F21" s="11"/>
      <c r="G21" s="12">
        <f>G20*4%</f>
        <v>-3522.8502899999999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5</vt:i4>
      </vt:variant>
    </vt:vector>
  </HeadingPairs>
  <TitlesOfParts>
    <vt:vector size="10" baseType="lpstr">
      <vt:lpstr>BAL. PATRIMONIAL 2023</vt:lpstr>
      <vt:lpstr>DMPL 2023-2022</vt:lpstr>
      <vt:lpstr>DRE 2023-2022</vt:lpstr>
      <vt:lpstr>DFC 2023-2022</vt:lpstr>
      <vt:lpstr>CALCULO CSLL IRPJ</vt:lpstr>
      <vt:lpstr>'BAL. PATRIMONIAL 2023'!Area_de_impressao</vt:lpstr>
      <vt:lpstr>'CALCULO CSLL IRPJ'!Area_de_impressao</vt:lpstr>
      <vt:lpstr>'DFC 2023-2022'!Area_de_impressao</vt:lpstr>
      <vt:lpstr>'DMPL 2023-2022'!Area_de_impressao</vt:lpstr>
      <vt:lpstr>'DRE 2023-2022'!Area_de_impressao</vt:lpstr>
    </vt:vector>
  </TitlesOfParts>
  <Company>cepromat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cepromat</dc:creator>
  <cp:lastModifiedBy>Alcindo Fernando da Silva</cp:lastModifiedBy>
  <cp:lastPrinted>2024-03-01T19:25:18Z</cp:lastPrinted>
  <dcterms:created xsi:type="dcterms:W3CDTF">2005-02-02T23:35:49Z</dcterms:created>
  <dcterms:modified xsi:type="dcterms:W3CDTF">2024-03-01T19:28:06Z</dcterms:modified>
</cp:coreProperties>
</file>